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intra.m006.eakte.niedersachsen.de:443/vis/EDFC54C7-A801-13B0-F8D6-1209154E5143/webdav/713230/"/>
    </mc:Choice>
  </mc:AlternateContent>
  <xr:revisionPtr revIDLastSave="0" documentId="13_ncr:1_{9FA6FDDB-9CF3-47B4-A2CF-194111EF426F}" xr6:coauthVersionLast="47" xr6:coauthVersionMax="47" xr10:uidLastSave="{00000000-0000-0000-0000-000000000000}"/>
  <bookViews>
    <workbookView xWindow="28680" yWindow="-120" windowWidth="29040" windowHeight="17520" tabRatio="654" xr2:uid="{00000000-000D-0000-FFFF-FFFF00000000}"/>
  </bookViews>
  <sheets>
    <sheet name="Jahresübersicht" sheetId="7" r:id="rId1"/>
    <sheet name="Amb. FB" sheetId="8" r:id="rId2"/>
    <sheet name="Amb. Ausz" sheetId="2" r:id="rId3"/>
    <sheet name="Amb. Ausz mon." sheetId="10" r:id="rId4"/>
    <sheet name="TaPf. FB" sheetId="9" r:id="rId5"/>
    <sheet name="TaPf Ausz." sheetId="3" r:id="rId6"/>
    <sheet name="TaPf. Ausz. Mon." sheetId="13" r:id="rId7"/>
    <sheet name="Sol. KzP" sheetId="4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7" l="1"/>
  <c r="D31" i="7"/>
  <c r="E31" i="7"/>
  <c r="B31" i="7"/>
  <c r="C22" i="7"/>
  <c r="D22" i="7"/>
  <c r="E22" i="7"/>
  <c r="B22" i="7"/>
  <c r="C11" i="7"/>
  <c r="D11" i="7"/>
  <c r="E11" i="7"/>
  <c r="B11" i="7"/>
  <c r="B12" i="7"/>
  <c r="L9" i="10"/>
  <c r="E9" i="10"/>
  <c r="F10" i="7" a="1"/>
  <c r="F10" i="7" s="1"/>
  <c r="E5" i="13"/>
  <c r="E7" i="3"/>
  <c r="J7" i="3"/>
  <c r="L7" i="3"/>
  <c r="E8" i="3"/>
  <c r="J8" i="3"/>
  <c r="L8" i="3"/>
  <c r="E9" i="3"/>
  <c r="J9" i="3"/>
  <c r="L9" i="3"/>
  <c r="E10" i="3"/>
  <c r="J10" i="3"/>
  <c r="L10" i="3"/>
  <c r="E11" i="3"/>
  <c r="J11" i="3"/>
  <c r="L11" i="3"/>
  <c r="E12" i="3"/>
  <c r="J12" i="3"/>
  <c r="L12" i="3"/>
  <c r="E6" i="4"/>
  <c r="J6" i="4"/>
  <c r="L6" i="4"/>
  <c r="E7" i="4"/>
  <c r="J7" i="4"/>
  <c r="L7" i="4"/>
  <c r="E8" i="4"/>
  <c r="J8" i="4"/>
  <c r="L8" i="4"/>
  <c r="E9" i="4"/>
  <c r="J9" i="4"/>
  <c r="L9" i="4"/>
  <c r="E10" i="4"/>
  <c r="J10" i="4"/>
  <c r="L10" i="4"/>
  <c r="E11" i="4"/>
  <c r="J11" i="4"/>
  <c r="L11" i="4"/>
  <c r="E5" i="4"/>
  <c r="E5" i="3"/>
  <c r="E6" i="3"/>
  <c r="E5" i="10"/>
  <c r="E10" i="7" s="1" a="1"/>
  <c r="E10" i="7" s="1"/>
  <c r="E6" i="10"/>
  <c r="E7" i="10"/>
  <c r="E8" i="10"/>
  <c r="E10" i="10"/>
  <c r="E11" i="10"/>
  <c r="E12" i="10"/>
  <c r="E13" i="10"/>
  <c r="E14" i="10"/>
  <c r="E15" i="10"/>
  <c r="E16" i="10"/>
  <c r="D5" i="2"/>
  <c r="D6" i="2"/>
  <c r="D7" i="2"/>
  <c r="D8" i="2"/>
  <c r="D9" i="2"/>
  <c r="D10" i="2"/>
  <c r="D11" i="2"/>
  <c r="D12" i="2"/>
  <c r="E30" i="13"/>
  <c r="I30" i="13"/>
  <c r="K30" i="13"/>
  <c r="F20" i="7"/>
  <c r="F21" i="7"/>
  <c r="E29" i="13"/>
  <c r="I29" i="13"/>
  <c r="K29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K28" i="13"/>
  <c r="I28" i="13"/>
  <c r="K27" i="13"/>
  <c r="I27" i="13"/>
  <c r="K26" i="13"/>
  <c r="I26" i="13"/>
  <c r="K25" i="13"/>
  <c r="I25" i="13"/>
  <c r="K24" i="13"/>
  <c r="I24" i="13"/>
  <c r="K23" i="13"/>
  <c r="I23" i="13"/>
  <c r="K22" i="13"/>
  <c r="I22" i="13"/>
  <c r="K21" i="13"/>
  <c r="I21" i="13"/>
  <c r="K20" i="13"/>
  <c r="I20" i="13"/>
  <c r="K19" i="13"/>
  <c r="I19" i="13"/>
  <c r="K18" i="13"/>
  <c r="I18" i="13"/>
  <c r="K17" i="13"/>
  <c r="I17" i="13"/>
  <c r="K16" i="13"/>
  <c r="I16" i="13"/>
  <c r="K15" i="13"/>
  <c r="I15" i="13"/>
  <c r="K14" i="13"/>
  <c r="I14" i="13"/>
  <c r="K13" i="13"/>
  <c r="I13" i="13"/>
  <c r="K12" i="13"/>
  <c r="I12" i="13"/>
  <c r="K11" i="13"/>
  <c r="I11" i="13"/>
  <c r="K10" i="13"/>
  <c r="I10" i="13"/>
  <c r="K9" i="13"/>
  <c r="I9" i="13"/>
  <c r="K8" i="13"/>
  <c r="I8" i="13"/>
  <c r="K7" i="13"/>
  <c r="I7" i="13"/>
  <c r="K6" i="13"/>
  <c r="I6" i="13"/>
  <c r="K5" i="13"/>
  <c r="I5" i="13"/>
  <c r="L5" i="10"/>
  <c r="L6" i="10"/>
  <c r="L7" i="10"/>
  <c r="L8" i="10"/>
  <c r="L10" i="10"/>
  <c r="L11" i="10"/>
  <c r="L12" i="10"/>
  <c r="L13" i="10"/>
  <c r="L14" i="10"/>
  <c r="L15" i="10"/>
  <c r="L16" i="10"/>
  <c r="F30" i="7" a="1"/>
  <c r="F30" i="7" s="1"/>
  <c r="L12" i="2"/>
  <c r="L11" i="2"/>
  <c r="L10" i="2"/>
  <c r="L6" i="2"/>
  <c r="L7" i="2"/>
  <c r="L8" i="2"/>
  <c r="L9" i="2"/>
  <c r="L5" i="2"/>
  <c r="F31" i="7" l="1"/>
  <c r="F22" i="7"/>
  <c r="F11" i="7"/>
  <c r="C12" i="7"/>
  <c r="B10" i="7" a="1"/>
  <c r="B10" i="7" s="1"/>
  <c r="C10" i="7" a="1"/>
  <c r="C10" i="7" s="1"/>
  <c r="D10" i="7" a="1"/>
  <c r="D10" i="7" s="1"/>
  <c r="E25" i="7"/>
  <c r="E16" i="7"/>
  <c r="E17" i="7"/>
  <c r="E20" i="7" a="1"/>
  <c r="E20" i="7" s="1"/>
  <c r="B24" i="7"/>
  <c r="B20" i="7" a="1"/>
  <c r="B20" i="7" s="1"/>
  <c r="C20" i="7" a="1"/>
  <c r="C20" i="7" s="1"/>
  <c r="D26" i="7"/>
  <c r="D20" i="7" a="1"/>
  <c r="D20" i="7" s="1"/>
  <c r="E13" i="7"/>
  <c r="C17" i="7"/>
  <c r="D14" i="7"/>
  <c r="D15" i="7"/>
  <c r="D12" i="7"/>
  <c r="B17" i="7"/>
  <c r="D17" i="7"/>
  <c r="B14" i="7"/>
  <c r="B16" i="7"/>
  <c r="E12" i="7"/>
  <c r="C14" i="7"/>
  <c r="E14" i="7"/>
  <c r="D13" i="7"/>
  <c r="B13" i="7"/>
  <c r="C15" i="7"/>
  <c r="E15" i="7"/>
  <c r="B15" i="7"/>
  <c r="D16" i="7"/>
  <c r="C13" i="7"/>
  <c r="C16" i="7"/>
  <c r="C26" i="7"/>
  <c r="E26" i="7"/>
  <c r="C24" i="7"/>
  <c r="B26" i="7"/>
  <c r="D24" i="7"/>
  <c r="E24" i="7"/>
  <c r="C23" i="7"/>
  <c r="D23" i="7"/>
  <c r="E23" i="7"/>
  <c r="B23" i="7"/>
  <c r="B34" i="7"/>
  <c r="D34" i="7"/>
  <c r="B32" i="7"/>
  <c r="C32" i="7"/>
  <c r="E33" i="7"/>
  <c r="C34" i="7"/>
  <c r="E34" i="7"/>
  <c r="D32" i="7"/>
  <c r="C36" i="7"/>
  <c r="E35" i="7"/>
  <c r="B30" i="7" a="1"/>
  <c r="B30" i="7" s="1"/>
  <c r="E32" i="7"/>
  <c r="B36" i="7"/>
  <c r="C33" i="7"/>
  <c r="E36" i="7"/>
  <c r="C30" i="7" a="1"/>
  <c r="C30" i="7" s="1"/>
  <c r="D36" i="7"/>
  <c r="B33" i="7"/>
  <c r="D33" i="7"/>
  <c r="E37" i="7"/>
  <c r="D30" i="7" a="1"/>
  <c r="D30" i="7" s="1"/>
  <c r="E30" i="7" a="1"/>
  <c r="E30" i="7" s="1"/>
  <c r="L5" i="4"/>
  <c r="D37" i="7" s="1"/>
  <c r="B37" i="7"/>
  <c r="J5" i="4"/>
  <c r="D35" i="7" s="1"/>
  <c r="B35" i="7"/>
  <c r="L5" i="3"/>
  <c r="D27" i="7" s="1"/>
  <c r="L6" i="3"/>
  <c r="B27" i="7" s="1"/>
  <c r="E27" i="7"/>
  <c r="J6" i="3"/>
  <c r="B25" i="7" s="1"/>
  <c r="J5" i="3"/>
  <c r="D25" i="7" s="1"/>
  <c r="F23" i="7" l="1"/>
  <c r="C25" i="7"/>
  <c r="F25" i="7" s="1"/>
  <c r="C27" i="7"/>
  <c r="F27" i="7" s="1"/>
  <c r="C35" i="7"/>
  <c r="F35" i="7" s="1"/>
  <c r="C37" i="7"/>
  <c r="F37" i="7" s="1"/>
  <c r="F26" i="7"/>
  <c r="F24" i="7"/>
  <c r="F34" i="7"/>
  <c r="F33" i="7"/>
  <c r="F36" i="7"/>
  <c r="F17" i="7"/>
  <c r="F15" i="7"/>
  <c r="F14" i="7"/>
  <c r="F13" i="7"/>
  <c r="F16" i="7"/>
  <c r="F12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<sst xmlns="http://schemas.openxmlformats.org/spreadsheetml/2006/main" count="228" uniqueCount="99">
  <si>
    <t>Kommune:</t>
  </si>
  <si>
    <t>Förderung nach § 9 NPflegeG - Ambulante Einrichtungen</t>
  </si>
  <si>
    <t>Teilstationäre Pflegeeinrichtungen</t>
  </si>
  <si>
    <t>Berichtspflicht nach § 13 NPflegeG</t>
  </si>
  <si>
    <t>Auslastung</t>
  </si>
  <si>
    <t>Durchschnittliche Auslastung</t>
  </si>
  <si>
    <t>Tagesbetrag</t>
  </si>
  <si>
    <t>Berichtsjahr:</t>
  </si>
  <si>
    <t>Ambulante Pflegeeinrichtungen</t>
  </si>
  <si>
    <t>Abgerechnete Leistungskomplexpunkte</t>
  </si>
  <si>
    <t>Abgerechnete Zeitstunden</t>
  </si>
  <si>
    <t>Hausbesuche für Einsätze bei einzelnen Pflegebedürftigen, nur Leistungen nach SGB XI</t>
  </si>
  <si>
    <t>Hausbesuche für Einsätze bei einzelnen Pflegebedürftigen, Leistungen nach SGB XI u. SGB V</t>
  </si>
  <si>
    <t>Hausbesuche für mehrere Pflegeeinsätze mit einmaliger Anfahrt, je Einsatz</t>
  </si>
  <si>
    <t>Gesamtsumme der Förderung</t>
  </si>
  <si>
    <t>Plätze laut Versorgungsvertrag in den geförderten Einrichtungen</t>
  </si>
  <si>
    <t>Belegungstage</t>
  </si>
  <si>
    <t>Einrichtungen der Kurzzeitpflege</t>
  </si>
  <si>
    <t>Anzahl geförderter Einrichtungen</t>
  </si>
  <si>
    <t>Plätze laut Versorgungsvertrag in vollstationären Pflegeeinrichtungen</t>
  </si>
  <si>
    <t>Anzahl der vollstationären Pflegeeinrichtungen</t>
  </si>
  <si>
    <t>* verfügbar = zum Stichtag frei</t>
  </si>
  <si>
    <t>Anzahl der Einrichtungen der Kurzzeitpflege</t>
  </si>
  <si>
    <t>Plätze laut Versorgungsvertrag in Einrichtungen der Kurzzeitpflege</t>
  </si>
  <si>
    <t>Name Pflegedienst</t>
  </si>
  <si>
    <t>IK-Nummer</t>
  </si>
  <si>
    <t>Förderung nach § 10 NPflegeG - Teilstationäre Pflegeeinrichtungen</t>
  </si>
  <si>
    <t>Name Einrichtung</t>
  </si>
  <si>
    <t>Plätze laut Versorgungsvertrag</t>
  </si>
  <si>
    <t>Abrechnungszeitraum Beginn</t>
  </si>
  <si>
    <t>Abrechnungszeitraum Ende</t>
  </si>
  <si>
    <t>Öffnungstage</t>
  </si>
  <si>
    <t>Öffnungtage</t>
  </si>
  <si>
    <t>Förderung nach § 10 NPflegeG - Einrichtungen der Kurzzeitpflege</t>
  </si>
  <si>
    <t>Durchschnittlicher Tagesbetrag</t>
  </si>
  <si>
    <t>Musterpflege Ambucare</t>
  </si>
  <si>
    <t>IK Nummer</t>
  </si>
  <si>
    <t>Datum Auszahlungsbescheid</t>
  </si>
  <si>
    <t>Musterpflege DailyCare</t>
  </si>
  <si>
    <t>Musterpflege Shortcare</t>
  </si>
  <si>
    <t>1. Quartal</t>
  </si>
  <si>
    <t>2. Quartal</t>
  </si>
  <si>
    <t>3. Quartal</t>
  </si>
  <si>
    <t>4. Quartal</t>
  </si>
  <si>
    <t>Gesamt</t>
  </si>
  <si>
    <t>Stichtag 30.06.</t>
  </si>
  <si>
    <t>Vorlage bis 31.10.</t>
  </si>
  <si>
    <t>Testcare</t>
  </si>
  <si>
    <t>Berichtspflicht nach § 10 a NPflegeEFördVO</t>
  </si>
  <si>
    <t>davon verfügbar* für vollstationäre Pflege (sofern verfügbar)</t>
  </si>
  <si>
    <t>davon belegt durch vollstationäre Pflege (sofern verfügbar)</t>
  </si>
  <si>
    <t>davon belegt (sofern verfügbar)</t>
  </si>
  <si>
    <t>davon verfügbar* (sofern verfügbar)</t>
  </si>
  <si>
    <t>Pflegehorst</t>
  </si>
  <si>
    <t>31.09.2024</t>
  </si>
  <si>
    <t>Tagespflege Sunshine</t>
  </si>
  <si>
    <t>Gepflegter Tag</t>
  </si>
  <si>
    <t>Quartal</t>
  </si>
  <si>
    <t>Kurz Gepflegt</t>
  </si>
  <si>
    <t>Haus Stipvisite</t>
  </si>
  <si>
    <t>CallyourCare</t>
  </si>
  <si>
    <t>Name des Anbieters</t>
  </si>
  <si>
    <t>Institutionskennziffer (IK)</t>
  </si>
  <si>
    <t xml:space="preserve">Bescheid vom </t>
  </si>
  <si>
    <t>Beginn Förderzeitraum</t>
  </si>
  <si>
    <t>Ende Förderzeitraum</t>
  </si>
  <si>
    <t>Förderung nach § 10</t>
  </si>
  <si>
    <t>Kurzzeitpflege</t>
  </si>
  <si>
    <t>Ambulante Pflege</t>
  </si>
  <si>
    <t>Erteilte und laufende Bescheide über die Feststellung der Förderfähigkeit und über die Höhe des Tagesbetrages</t>
  </si>
  <si>
    <t>Plätze laut VV</t>
  </si>
  <si>
    <t>AmbuPfleg Das Dutzend</t>
  </si>
  <si>
    <t>Bliev in Hus</t>
  </si>
  <si>
    <t>Putzmunter</t>
  </si>
  <si>
    <t>Pflegomobil</t>
  </si>
  <si>
    <t>Abrechungsmonat</t>
  </si>
  <si>
    <t>TachDach</t>
  </si>
  <si>
    <t>Senior-Daily Fittnes Club</t>
  </si>
  <si>
    <t>Juten Tach</t>
  </si>
  <si>
    <t>Rüstig statt Rostig</t>
  </si>
  <si>
    <t>Gute Stube</t>
  </si>
  <si>
    <t>De Dorfkinners</t>
  </si>
  <si>
    <t>Erteilte und laufende Bescheide über die Feststellung der Förderfähigkeit und ambulanter Dienste im Zuge der Förderung nach § 9</t>
  </si>
  <si>
    <t>Erteilte, laufende Bescheide über die Feststellung der Förderfähigkeit und über die Höhe des Tagesbetrages</t>
  </si>
  <si>
    <t>Tages/Nachtpflege (Eingabe nur von Einrichtungen die auch Förderung erhalten)</t>
  </si>
  <si>
    <t>(Eingabe nur von Einrichtungen die auch Förderung erhalten)</t>
  </si>
  <si>
    <t>Hinweis: Diese Tabelle soll sich automatisch aus den Angaben der Folgeblätter ergeben. Es ind ausschließlich Eingaben zur Berichtspflicht zu § 10a und der Kommune in diesem Tabellenblatt vorzunehmen.</t>
  </si>
  <si>
    <t xml:space="preserve">Zum Erweitern der Tabelle in die letzte Zelle der letzten Zeile gehen und TAB drücken. Zum Löschen von zeilen immer die gesamte Zeile löschen! </t>
  </si>
  <si>
    <t xml:space="preserve">Zum Erweitern der Tabelle in die letzte Zelle der letzten Zeile gehen und TAB drücken. Zum Löschen von Zeilen immer die gesamte Zeile löschen! </t>
  </si>
  <si>
    <t xml:space="preserve">Zum Erweitern der Tabelle in die letzte Zelle der letzten Zeile der Tabelle ( hier Spalte E) gehen und TAB drücken. Zum Löschen von Zeilen immer die gesamte Zeile löschen! </t>
  </si>
  <si>
    <t>Anzahl versorgter Pflegebedürftiger (Quartal 1)</t>
  </si>
  <si>
    <t>Anzahl versorgter Pflegebedürftiger (1. Quartal)</t>
  </si>
  <si>
    <t>Anzahl geförderter Personen</t>
  </si>
  <si>
    <t>Anzahl versorgter Pflegebedürftiger (Quartal 2)</t>
  </si>
  <si>
    <t>Anzahl versorgter Pflegebedürftiger (Quartal 4)</t>
  </si>
  <si>
    <t>Anzahl versorgter Pflegebedürftiger (Quartal 3)</t>
  </si>
  <si>
    <t>Anzahl versorgter Pflegebedürftiger (4. Quartal)</t>
  </si>
  <si>
    <t>Anzahl versorgter Pflegebedürftiger (3. Quartal)</t>
  </si>
  <si>
    <t>Anzahl versorgter Pflegebedürftiger (2. Quartal)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</si>
</sst>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1]_-;\-* #,##0.00\ [$€-1]_-;_-* &quot;-&quot;??\ [$€-1]_-"/>
    <numFmt numFmtId="165" formatCode="#,##0.00\ &quot;€&quot;"/>
    <numFmt numFmtId="166" formatCode="[$-407]mmmm\ yy;@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color rgb="FFFF0000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auto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5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3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" fillId="0" borderId="0" xfId="0" applyFont="1" applyAlignment="1" applyProtection="1">
      <alignment horizontal="left"/>
    </xf>
    <xf numFmtId="14" fontId="1" fillId="0" borderId="0" xfId="0" applyNumberFormat="1" applyFont="1" applyAlignment="1" applyProtection="1">
      <alignment horizontal="left"/>
    </xf>
    <xf numFmtId="165" fontId="1" fillId="0" borderId="0" xfId="0" applyNumberFormat="1" applyFont="1" applyAlignment="1" applyProtection="1">
      <alignment horizontal="left"/>
    </xf>
    <xf numFmtId="165" fontId="0" fillId="0" borderId="0" xfId="0" applyNumberFormat="1" applyProtection="1"/>
    <xf numFmtId="0" fontId="1" fillId="0" borderId="0" xfId="0" applyFont="1" applyBorder="1" applyAlignment="1" applyProtection="1">
      <alignment horizontal="left"/>
    </xf>
    <xf numFmtId="14" fontId="1" fillId="0" borderId="0" xfId="0" applyNumberFormat="1" applyFont="1" applyBorder="1" applyAlignment="1" applyProtection="1">
      <alignment horizontal="left"/>
    </xf>
    <xf numFmtId="165" fontId="1" fillId="0" borderId="0" xfId="0" applyNumberFormat="1" applyFont="1" applyBorder="1" applyAlignment="1" applyProtection="1">
      <alignment horizontal="left"/>
    </xf>
    <xf numFmtId="10" fontId="0" fillId="0" borderId="0" xfId="0" applyNumberFormat="1" applyBorder="1" applyProtection="1"/>
    <xf numFmtId="14" fontId="0" fillId="0" borderId="0" xfId="0" applyNumberFormat="1" applyBorder="1" applyProtection="1"/>
    <xf numFmtId="10" fontId="1" fillId="0" borderId="0" xfId="0" applyNumberFormat="1" applyFont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/>
    <xf numFmtId="0" fontId="2" fillId="0" borderId="0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2" fillId="0" borderId="1" xfId="0" applyFont="1" applyBorder="1"/>
    <xf numFmtId="0" fontId="0" fillId="0" borderId="1" xfId="0" applyBorder="1"/>
    <xf numFmtId="0" fontId="0" fillId="3" borderId="1" xfId="0" applyFill="1" applyBorder="1"/>
    <xf numFmtId="0" fontId="2" fillId="3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 applyProtection="1">
      <alignment vertical="top" wrapText="1"/>
    </xf>
    <xf numFmtId="0" fontId="5" fillId="0" borderId="0" xfId="0" applyFont="1" applyAlignment="1"/>
    <xf numFmtId="0" fontId="7" fillId="0" borderId="0" xfId="0" applyFont="1" applyAlignment="1">
      <alignment wrapText="1"/>
    </xf>
    <xf numFmtId="0" fontId="7" fillId="0" borderId="0" xfId="0" applyFont="1" applyAlignment="1"/>
    <xf numFmtId="0" fontId="3" fillId="0" borderId="0" xfId="0" applyFont="1" applyAlignment="1" applyProtection="1">
      <alignment horizontal="center"/>
    </xf>
    <xf numFmtId="0" fontId="2" fillId="0" borderId="7" xfId="0" applyFont="1" applyBorder="1" applyAlignment="1" applyProtection="1">
      <alignment vertical="top" wrapText="1"/>
    </xf>
    <xf numFmtId="0" fontId="2" fillId="0" borderId="7" xfId="0" applyFont="1" applyBorder="1" applyAlignment="1">
      <alignment vertical="top" wrapText="1"/>
    </xf>
    <xf numFmtId="0" fontId="1" fillId="0" borderId="0" xfId="0" applyFont="1" applyAlignment="1" applyProtection="1">
      <alignment horizontal="left" wrapText="1"/>
    </xf>
    <xf numFmtId="14" fontId="1" fillId="0" borderId="0" xfId="0" applyNumberFormat="1" applyFont="1" applyAlignment="1" applyProtection="1">
      <alignment horizontal="left" wrapText="1"/>
    </xf>
    <xf numFmtId="0" fontId="0" fillId="0" borderId="0" xfId="0" applyAlignment="1" applyProtection="1">
      <alignment wrapText="1"/>
    </xf>
    <xf numFmtId="165" fontId="0" fillId="0" borderId="0" xfId="0" applyNumberFormat="1" applyAlignment="1" applyProtection="1">
      <alignment wrapText="1"/>
    </xf>
    <xf numFmtId="0" fontId="1" fillId="0" borderId="0" xfId="0" applyFont="1" applyAlignment="1" applyProtection="1">
      <alignment horizontal="left" vertical="center"/>
    </xf>
    <xf numFmtId="14" fontId="0" fillId="0" borderId="0" xfId="0" applyNumberFormat="1" applyProtection="1"/>
    <xf numFmtId="10" fontId="0" fillId="0" borderId="0" xfId="0" applyNumberFormat="1" applyProtection="1"/>
    <xf numFmtId="0" fontId="1" fillId="0" borderId="0" xfId="0" applyFont="1" applyProtection="1"/>
    <xf numFmtId="0" fontId="0" fillId="0" borderId="7" xfId="0" applyBorder="1"/>
    <xf numFmtId="0" fontId="0" fillId="0" borderId="9" xfId="0" applyBorder="1"/>
    <xf numFmtId="0" fontId="5" fillId="0" borderId="0" xfId="0" applyFont="1" applyAlignment="1">
      <alignment wrapText="1"/>
    </xf>
    <xf numFmtId="0" fontId="0" fillId="0" borderId="16" xfId="0" applyBorder="1"/>
    <xf numFmtId="0" fontId="0" fillId="0" borderId="4" xfId="0" applyBorder="1"/>
    <xf numFmtId="0" fontId="1" fillId="0" borderId="24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0" fillId="0" borderId="27" xfId="0" applyBorder="1"/>
    <xf numFmtId="0" fontId="0" fillId="4" borderId="1" xfId="0" applyFill="1" applyBorder="1"/>
    <xf numFmtId="0" fontId="0" fillId="4" borderId="7" xfId="0" applyFill="1" applyBorder="1"/>
    <xf numFmtId="0" fontId="2" fillId="0" borderId="5" xfId="0" applyFont="1" applyBorder="1"/>
    <xf numFmtId="0" fontId="1" fillId="0" borderId="15" xfId="0" applyFont="1" applyBorder="1"/>
    <xf numFmtId="0" fontId="2" fillId="3" borderId="16" xfId="0" applyFont="1" applyFill="1" applyBorder="1"/>
    <xf numFmtId="0" fontId="0" fillId="3" borderId="16" xfId="0" applyFill="1" applyBorder="1"/>
    <xf numFmtId="0" fontId="0" fillId="3" borderId="17" xfId="0" applyFill="1" applyBorder="1"/>
    <xf numFmtId="0" fontId="0" fillId="0" borderId="17" xfId="0" applyBorder="1"/>
    <xf numFmtId="0" fontId="0" fillId="3" borderId="18" xfId="0" applyFill="1" applyBorder="1"/>
    <xf numFmtId="0" fontId="2" fillId="3" borderId="4" xfId="0" applyFont="1" applyFill="1" applyBorder="1"/>
    <xf numFmtId="0" fontId="0" fillId="3" borderId="4" xfId="0" applyFill="1" applyBorder="1"/>
    <xf numFmtId="0" fontId="0" fillId="3" borderId="31" xfId="0" applyFill="1" applyBorder="1"/>
    <xf numFmtId="0" fontId="2" fillId="0" borderId="23" xfId="0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1" fillId="0" borderId="32" xfId="0" applyFont="1" applyBorder="1" applyAlignment="1">
      <alignment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" fillId="0" borderId="0" xfId="0" applyNumberFormat="1" applyFont="1" applyAlignment="1" applyProtection="1">
      <alignment horizontal="left" wrapText="1"/>
    </xf>
    <xf numFmtId="3" fontId="1" fillId="0" borderId="0" xfId="0" applyNumberFormat="1" applyFont="1" applyAlignment="1" applyProtection="1">
      <alignment horizontal="left" wrapText="1"/>
    </xf>
    <xf numFmtId="3" fontId="1" fillId="0" borderId="0" xfId="0" applyNumberFormat="1" applyFont="1" applyAlignment="1" applyProtection="1">
      <alignment horizontal="left"/>
    </xf>
    <xf numFmtId="0" fontId="0" fillId="0" borderId="0" xfId="0" applyNumberFormat="1" applyProtection="1"/>
    <xf numFmtId="14" fontId="0" fillId="0" borderId="0" xfId="0" applyNumberFormat="1" applyAlignment="1" applyProtection="1">
      <alignment horizontal="right"/>
    </xf>
    <xf numFmtId="14" fontId="1" fillId="0" borderId="0" xfId="0" applyNumberFormat="1" applyFont="1" applyAlignment="1" applyProtection="1">
      <alignment horizontal="right"/>
    </xf>
    <xf numFmtId="1" fontId="0" fillId="0" borderId="0" xfId="0" applyNumberFormat="1" applyProtection="1"/>
    <xf numFmtId="10" fontId="0" fillId="0" borderId="4" xfId="0" applyNumberFormat="1" applyBorder="1"/>
    <xf numFmtId="10" fontId="0" fillId="4" borderId="1" xfId="0" applyNumberFormat="1" applyFill="1" applyBorder="1"/>
    <xf numFmtId="10" fontId="0" fillId="0" borderId="1" xfId="0" applyNumberFormat="1" applyBorder="1"/>
    <xf numFmtId="10" fontId="0" fillId="0" borderId="16" xfId="0" applyNumberFormat="1" applyBorder="1"/>
    <xf numFmtId="165" fontId="0" fillId="0" borderId="11" xfId="0" applyNumberFormat="1" applyBorder="1"/>
    <xf numFmtId="165" fontId="0" fillId="4" borderId="5" xfId="0" applyNumberFormat="1" applyFill="1" applyBorder="1"/>
    <xf numFmtId="165" fontId="0" fillId="0" borderId="5" xfId="0" applyNumberFormat="1" applyBorder="1"/>
    <xf numFmtId="165" fontId="0" fillId="0" borderId="19" xfId="0" applyNumberFormat="1" applyBorder="1"/>
    <xf numFmtId="165" fontId="2" fillId="0" borderId="22" xfId="0" applyNumberFormat="1" applyFont="1" applyBorder="1"/>
    <xf numFmtId="165" fontId="2" fillId="4" borderId="20" xfId="0" applyNumberFormat="1" applyFont="1" applyFill="1" applyBorder="1"/>
    <xf numFmtId="165" fontId="2" fillId="0" borderId="20" xfId="0" applyNumberFormat="1" applyFont="1" applyBorder="1"/>
    <xf numFmtId="165" fontId="2" fillId="0" borderId="21" xfId="0" applyNumberFormat="1" applyFont="1" applyBorder="1"/>
    <xf numFmtId="165" fontId="0" fillId="0" borderId="0" xfId="0" applyNumberFormat="1"/>
    <xf numFmtId="0" fontId="1" fillId="0" borderId="0" xfId="0" applyNumberFormat="1" applyFont="1" applyAlignment="1" applyProtection="1">
      <alignment horizontal="left"/>
    </xf>
    <xf numFmtId="0" fontId="1" fillId="0" borderId="0" xfId="0" applyFont="1"/>
    <xf numFmtId="0" fontId="0" fillId="0" borderId="0" xfId="0" applyBorder="1"/>
    <xf numFmtId="14" fontId="0" fillId="0" borderId="0" xfId="0" applyNumberFormat="1" applyBorder="1"/>
    <xf numFmtId="14" fontId="0" fillId="0" borderId="0" xfId="0" applyNumberFormat="1"/>
    <xf numFmtId="0" fontId="1" fillId="0" borderId="0" xfId="0" applyNumberFormat="1" applyFont="1" applyBorder="1" applyAlignment="1" applyProtection="1">
      <alignment horizontal="left"/>
    </xf>
    <xf numFmtId="0" fontId="0" fillId="0" borderId="0" xfId="0" applyNumberFormat="1" applyBorder="1" applyProtection="1"/>
    <xf numFmtId="0" fontId="9" fillId="0" borderId="0" xfId="0" applyFont="1" applyAlignment="1"/>
    <xf numFmtId="165" fontId="0" fillId="0" borderId="0" xfId="0" applyNumberFormat="1" applyBorder="1"/>
    <xf numFmtId="0" fontId="3" fillId="0" borderId="0" xfId="0" applyFont="1" applyAlignment="1" applyProtection="1">
      <alignment horizontal="center"/>
    </xf>
    <xf numFmtId="17" fontId="1" fillId="0" borderId="0" xfId="0" applyNumberFormat="1" applyFont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0" fillId="0" borderId="7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166" fontId="0" fillId="0" borderId="0" xfId="0" applyNumberFormat="1" applyProtection="1"/>
    <xf numFmtId="166" fontId="1" fillId="0" borderId="0" xfId="0" applyNumberFormat="1" applyFont="1" applyProtection="1"/>
    <xf numFmtId="0" fontId="0" fillId="0" borderId="16" xfId="0" applyFill="1" applyBorder="1"/>
    <xf numFmtId="165" fontId="0" fillId="0" borderId="5" xfId="0" applyNumberFormat="1" applyFill="1" applyBorder="1"/>
    <xf numFmtId="0" fontId="0" fillId="0" borderId="0" xfId="0" applyFill="1"/>
    <xf numFmtId="0" fontId="2" fillId="0" borderId="0" xfId="0" applyFont="1" applyFill="1"/>
    <xf numFmtId="3" fontId="0" fillId="0" borderId="9" xfId="0" applyNumberFormat="1" applyBorder="1"/>
    <xf numFmtId="3" fontId="0" fillId="4" borderId="7" xfId="0" applyNumberFormat="1" applyFill="1" applyBorder="1"/>
    <xf numFmtId="3" fontId="0" fillId="0" borderId="7" xfId="0" applyNumberFormat="1" applyBorder="1"/>
    <xf numFmtId="3" fontId="0" fillId="0" borderId="27" xfId="0" applyNumberFormat="1" applyBorder="1"/>
    <xf numFmtId="3" fontId="0" fillId="0" borderId="4" xfId="0" applyNumberFormat="1" applyBorder="1"/>
    <xf numFmtId="3" fontId="0" fillId="4" borderId="1" xfId="0" applyNumberFormat="1" applyFill="1" applyBorder="1"/>
    <xf numFmtId="3" fontId="0" fillId="0" borderId="1" xfId="0" applyNumberFormat="1" applyBorder="1"/>
    <xf numFmtId="3" fontId="0" fillId="0" borderId="16" xfId="0" applyNumberFormat="1" applyBorder="1"/>
    <xf numFmtId="3" fontId="0" fillId="0" borderId="11" xfId="0" applyNumberFormat="1" applyBorder="1"/>
    <xf numFmtId="3" fontId="0" fillId="4" borderId="5" xfId="0" applyNumberFormat="1" applyFill="1" applyBorder="1"/>
    <xf numFmtId="3" fontId="0" fillId="0" borderId="5" xfId="0" applyNumberFormat="1" applyBorder="1"/>
    <xf numFmtId="0" fontId="0" fillId="0" borderId="0" xfId="0" applyBorder="1" applyProtection="1">
      <protection locked="0"/>
    </xf>
    <xf numFmtId="14" fontId="0" fillId="0" borderId="0" xfId="0" applyNumberFormat="1" applyBorder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3" fontId="0" fillId="4" borderId="9" xfId="0" applyNumberFormat="1" applyFill="1" applyBorder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0" fontId="0" fillId="4" borderId="4" xfId="0" applyFill="1" applyBorder="1"/>
    <xf numFmtId="0" fontId="0" fillId="4" borderId="9" xfId="0" applyFill="1" applyBorder="1"/>
    <xf numFmtId="1" fontId="0" fillId="0" borderId="0" xfId="0" applyNumberFormat="1" applyBorder="1" applyProtection="1"/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4" borderId="28" xfId="0" applyFont="1" applyFill="1" applyBorder="1" applyAlignment="1">
      <alignment horizontal="center" wrapText="1"/>
    </xf>
    <xf numFmtId="0" fontId="2" fillId="4" borderId="29" xfId="0" applyFont="1" applyFill="1" applyBorder="1" applyAlignment="1">
      <alignment horizontal="center" wrapText="1"/>
    </xf>
    <xf numFmtId="0" fontId="2" fillId="4" borderId="30" xfId="0" applyFont="1" applyFill="1" applyBorder="1" applyAlignment="1">
      <alignment horizontal="center" wrapText="1"/>
    </xf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8" fillId="0" borderId="3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3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5" borderId="0" xfId="0" applyFont="1" applyFill="1" applyAlignment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5" borderId="8" xfId="0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2" borderId="3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</xf>
    <xf numFmtId="0" fontId="1" fillId="5" borderId="0" xfId="0" applyFont="1" applyFill="1" applyAlignment="1">
      <alignment horizontal="center" wrapText="1"/>
    </xf>
    <xf numFmtId="0" fontId="2" fillId="5" borderId="0" xfId="0" applyFont="1" applyFill="1" applyAlignment="1" applyProtection="1">
      <alignment horizontal="center" vertical="center" wrapText="1"/>
    </xf>
    <xf numFmtId="0" fontId="1" fillId="5" borderId="8" xfId="0" applyFont="1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6" borderId="39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16" xfId="0" applyFill="1" applyBorder="1"/>
  </cellXfs>
  <cellStyles count="2">
    <cellStyle name="Euro" xfId="1" xr:uid="{00000000-0005-0000-0000-000000000000}"/>
    <cellStyle name="Standard" xfId="0" builtinId="0"/>
  </cellStyles>
  <dxfs count="146">
    <dxf>
      <numFmt numFmtId="1" formatCode="0"/>
      <protection locked="1" hidden="0"/>
    </dxf>
    <dxf>
      <numFmt numFmtId="1" formatCode="0"/>
      <protection locked="1" hidden="0"/>
    </dxf>
    <dxf>
      <numFmt numFmtId="1" formatCode="0"/>
      <protection locked="1" hidden="0"/>
    </dxf>
    <dxf>
      <numFmt numFmtId="1" formatCode="0"/>
      <protection locked="1" hidden="0"/>
    </dxf>
    <dxf>
      <protection locked="1" hidden="0"/>
    </dxf>
    <dxf>
      <numFmt numFmtId="165" formatCode="#,##0.00\ &quot;€&quot;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5" formatCode="#,##0.00\ &quot;€&quot;"/>
      <protection locked="1" hidden="0"/>
    </dxf>
    <dxf>
      <numFmt numFmtId="165" formatCode="#,##0.00\ &quot;€&quot;"/>
      <protection locked="1" hidden="0"/>
    </dxf>
    <dxf>
      <numFmt numFmtId="14" formatCode="0.00%"/>
      <protection locked="1" hidden="0"/>
    </dxf>
    <dxf>
      <protection locked="1" hidden="0"/>
    </dxf>
    <dxf>
      <protection locked="1" hidden="0"/>
    </dxf>
    <dxf>
      <numFmt numFmtId="19" formatCode="dd/mm/yyyy"/>
      <alignment horizontal="right" vertical="bottom" textRotation="0" wrapText="0" indent="0" justifyLastLine="0" shrinkToFit="0" readingOrder="0"/>
      <protection locked="1" hidden="0"/>
    </dxf>
    <dxf>
      <protection locked="1" hidden="0"/>
    </dxf>
    <dxf>
      <numFmt numFmtId="1" formatCode="0"/>
      <protection locked="1" hidden="0"/>
    </dxf>
    <dxf>
      <numFmt numFmtId="19" formatCode="dd/mm/yyyy"/>
      <protection locked="1" hidden="0"/>
    </dxf>
    <dxf>
      <protection locked="1" hidden="0"/>
    </dxf>
    <dxf>
      <protection locked="1" hidden="0"/>
    </dxf>
    <dxf>
      <protection locked="1" hidden="0"/>
    </dxf>
    <dxf>
      <border outline="0">
        <top style="thin">
          <color indexed="64"/>
        </top>
      </border>
    </dxf>
    <dxf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numFmt numFmtId="165" formatCode="#,##0.00\ &quot;€&quot;"/>
      <protection locked="1" hidden="0"/>
    </dxf>
    <dxf>
      <numFmt numFmtId="165" formatCode="#,##0.00\ &quot;€&quot;"/>
      <protection locked="1" hidden="0"/>
    </dxf>
    <dxf>
      <numFmt numFmtId="14" formatCode="0.00%"/>
      <protection locked="1" hidden="0"/>
    </dxf>
    <dxf>
      <protection locked="1" hidden="0"/>
    </dxf>
    <dxf>
      <protection locked="1" hidden="0"/>
    </dxf>
    <dxf>
      <numFmt numFmtId="166" formatCode="[$-407]mmmm\ yy;@"/>
      <protection locked="1" hidden="0"/>
    </dxf>
    <dxf>
      <numFmt numFmtId="0" formatCode="General"/>
      <protection locked="1" hidden="0"/>
    </dxf>
    <dxf>
      <numFmt numFmtId="19" formatCode="dd/mm/yyyy"/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  <protection locked="1" hidden="0"/>
    </dxf>
    <dxf>
      <protection locked="1" hidden="0"/>
    </dxf>
    <dxf>
      <border outline="0">
        <top style="thin">
          <color indexed="64"/>
        </top>
      </border>
    </dxf>
    <dxf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numFmt numFmtId="165" formatCode="#,##0.00\ &quot;€&quot;"/>
      <protection locked="1" hidden="0"/>
    </dxf>
    <dxf>
      <numFmt numFmtId="165" formatCode="#,##0.00\ &quot;€&quot;"/>
      <protection locked="1" hidden="0"/>
    </dxf>
    <dxf>
      <numFmt numFmtId="14" formatCode="0.00%"/>
      <protection locked="1" hidden="0"/>
    </dxf>
    <dxf>
      <protection locked="1" hidden="0"/>
    </dxf>
    <dxf>
      <protection locked="1" hidden="0"/>
    </dxf>
    <dxf>
      <numFmt numFmtId="19" formatCode="dd/mm/yyyy"/>
      <protection locked="1" hidden="0"/>
    </dxf>
    <dxf>
      <numFmt numFmtId="19" formatCode="dd/mm/yyyy"/>
      <protection locked="1" hidden="0"/>
    </dxf>
    <dxf>
      <numFmt numFmtId="0" formatCode="General"/>
      <protection locked="1" hidden="0"/>
    </dxf>
    <dxf>
      <numFmt numFmtId="19" formatCode="dd/mm/yyyy"/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  <protection locked="1" hidden="0"/>
    </dxf>
    <dxf>
      <protection locked="1" hidden="0"/>
    </dxf>
    <dxf>
      <border outline="0">
        <top style="thin">
          <color indexed="64"/>
        </top>
      </border>
    </dxf>
    <dxf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numFmt numFmtId="165" formatCode="#,##0.00\ &quot;€&quot;"/>
    </dxf>
    <dxf>
      <fill>
        <patternFill>
          <bgColor theme="8" tint="0.79998168889431442"/>
        </patternFill>
      </fill>
    </dxf>
    <dxf>
      <numFmt numFmtId="165" formatCode="#,##0.00\ &quot;€&quot;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2" formatCode="mmm\ yy"/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protection locked="1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numFmt numFmtId="165" formatCode="#,##0.00\ &quot;€&quot;"/>
      <protection locked="1" hidden="0"/>
    </dxf>
    <dxf>
      <protection locked="1" hidden="0"/>
    </dxf>
    <dxf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protection locked="1" hidden="0"/>
    </dxf>
    <dxf>
      <border outline="0">
        <top style="thin">
          <color indexed="64"/>
        </top>
      </border>
    </dxf>
    <dxf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0" hidden="0"/>
    </dxf>
    <dxf>
      <alignment horizontal="center" vertical="center" textRotation="0" indent="0" justifyLastLine="0" shrinkToFit="0" readingOrder="0"/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588879-01BE-4D0D-95E9-4EFBB52BB57F}" name="Tabelle1" displayName="Tabelle1" ref="A6:I9" totalsRowShown="0" headerRowDxfId="144" dataDxfId="143" tableBorderDxfId="142">
  <autoFilter ref="A6:I9" xr:uid="{F3588879-01BE-4D0D-95E9-4EFBB52BB57F}"/>
  <tableColumns count="9">
    <tableColumn id="1" xr3:uid="{B667C91E-EFE2-4A40-BFE7-F4CF44A72977}" name="Name des Anbieters" dataDxfId="141"/>
    <tableColumn id="2" xr3:uid="{2B3EDF77-8171-46A5-939D-50C23C03C3F5}" name="Institutionskennziffer (IK)" dataDxfId="140"/>
    <tableColumn id="8" xr3:uid="{D23A6991-EA5B-4E6E-BB86-9A05268834C2}" name="Anzahl versorgter Pflegebedürftiger (Quartal 1)" dataDxfId="139"/>
    <tableColumn id="6" xr3:uid="{AE7D2700-E6A5-4D93-B45B-769FD2D86409}" name="Anzahl versorgter Pflegebedürftiger (Quartal 2)" dataDxfId="138"/>
    <tableColumn id="9" xr3:uid="{30E019EA-826C-4540-B255-CEFF23EB7551}" name="Anzahl versorgter Pflegebedürftiger (Quartal 3)" dataDxfId="137"/>
    <tableColumn id="7" xr3:uid="{DD8A7720-AEC0-4B8B-81C8-2B5EA8F422A1}" name="Anzahl versorgter Pflegebedürftiger (Quartal 4)" dataDxfId="136"/>
    <tableColumn id="3" xr3:uid="{4DBEBD77-7A99-4268-88CB-BB0A441A4E00}" name="Bescheid vom " dataDxfId="135"/>
    <tableColumn id="4" xr3:uid="{20B5921B-E287-4310-97F5-7BDF7FA289B0}" name="Beginn Förderzeitraum" dataDxfId="134"/>
    <tableColumn id="5" xr3:uid="{23A37034-FC8F-4AD9-847A-CC7EF23A0FF2}" name="Ende Förderzeitraum" dataDxfId="133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898D845-25D4-4E66-99B0-5A453498DE2C}" name="Tabelle2" displayName="Tabelle2" ref="A4:L12" totalsRowShown="0" headerRowDxfId="130" dataDxfId="128" headerRowBorderDxfId="129" tableBorderDxfId="127">
  <autoFilter ref="A4:L12" xr:uid="{3898D845-25D4-4E66-99B0-5A453498DE2C}"/>
  <tableColumns count="12">
    <tableColumn id="1" xr3:uid="{B09BA679-7A81-47F7-87BB-FF0A60775C2B}" name="Name Pflegedienst" dataDxfId="126"/>
    <tableColumn id="12" xr3:uid="{B3780444-E318-43D2-944C-6681F4B6570D}" name="IK Nummer"/>
    <tableColumn id="3" xr3:uid="{68519862-B541-4D40-89F6-EDAA2141B509}" name="Datum Auszahlungsbescheid" dataDxfId="125"/>
    <tableColumn id="13" xr3:uid="{4C5BB5A7-6D35-42BA-8CF0-D1EB3D24548E}" name="Quartal" dataDxfId="124">
      <calculatedColumnFormula>IF(Tabelle2[[#This Row],[Abrechnungszeitraum Beginn]]&gt;0,ROUNDUP(MONTH(Tabelle2[[#This Row],[Abrechnungszeitraum Beginn]])/3,0),"0")</calculatedColumnFormula>
    </tableColumn>
    <tableColumn id="4" xr3:uid="{DA0A385A-2AF3-4BFA-99B8-0EDBB814D6F5}" name="Abrechnungszeitraum Beginn" dataDxfId="123"/>
    <tableColumn id="5" xr3:uid="{F476FC2C-9BCC-4B7C-BD65-6ADA088EB743}" name="Abrechnungszeitraum Ende" dataDxfId="122"/>
    <tableColumn id="6" xr3:uid="{47C407DB-0728-4153-B0F7-B88C6C2CA3F3}" name="Abgerechnete Leistungskomplexpunkte" dataDxfId="121"/>
    <tableColumn id="7" xr3:uid="{E53CCA09-0FCA-4B7E-80D6-F1BFB1D7E692}" name="Abgerechnete Zeitstunden" dataDxfId="120"/>
    <tableColumn id="8" xr3:uid="{49433DED-2B26-42DD-91F0-A1E16EA2008C}" name="Hausbesuche für Einsätze bei einzelnen Pflegebedürftigen, nur Leistungen nach SGB XI" dataDxfId="119"/>
    <tableColumn id="9" xr3:uid="{D7851782-44A1-4EEE-B21F-4D4E3F441EDD}" name="Hausbesuche für Einsätze bei einzelnen Pflegebedürftigen, Leistungen nach SGB XI u. SGB V" dataDxfId="118"/>
    <tableColumn id="10" xr3:uid="{8AB3D8E0-6254-4AE4-AACC-E6591C64C827}" name="Hausbesuche für mehrere Pflegeeinsätze mit einmaliger Anfahrt, je Einsatz" dataDxfId="117"/>
    <tableColumn id="11" xr3:uid="{A9F9F085-986F-4C38-8054-29B14D0A5A93}" name="Gesamtsumme der Förderung" dataDxfId="116">
      <calculatedColumnFormula>Tabelle2[[#This Row],[Abgerechnete Leistungskomplexpunkte]]*0.00254+Tabelle2[[#This Row],[Abgerechnete Zeitstunden]]*1.51+Tabelle2[[#This Row],[Hausbesuche für Einsätze bei einzelnen Pflegebedürftigen, nur Leistungen nach SGB XI]]*0.00254*100+Tabelle2[[#This Row],[Hausbesuche für Einsätze bei einzelnen Pflegebedürftigen, Leistungen nach SGB XI u. SGB V]]*0.00254*50+Tabelle2[[#This Row],[Hausbesuche für mehrere Pflegeeinsätze mit einmaliger Anfahrt, je Einsatz]]*0.00254*25</calculatedColumnFormula>
    </tableColumn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F1D389C-A021-45F8-9676-B2F6F495019F}" name="Tabelle7" displayName="Tabelle7" ref="B4:L16" totalsRowShown="0" headerRowDxfId="112" headerRowBorderDxfId="111" tableBorderDxfId="110">
  <autoFilter ref="B4:L16" xr:uid="{1F1D389C-A021-45F8-9676-B2F6F495019F}"/>
  <tableColumns count="11">
    <tableColumn id="1" xr3:uid="{CEB5458E-E081-4F97-8D0E-74226B8C4CB1}" name="Name Pflegedienst" dataDxfId="109"/>
    <tableColumn id="2" xr3:uid="{0731736B-4A57-4706-B1D6-59F2D2F4CDF1}" name="IK Nummer" dataDxfId="108"/>
    <tableColumn id="3" xr3:uid="{AFB33B87-2B75-405E-B355-50C0AB547B4E}" name="Datum Auszahlungsbescheid" dataDxfId="107"/>
    <tableColumn id="4" xr3:uid="{0FA67EAB-D759-434E-A433-BDD4E8F5858A}" name="Quartal" dataDxfId="106">
      <calculatedColumnFormula>IF(Tabelle7[[#This Row],[Abrechungsmonat]]&gt;0,ROUNDUP(MONTH(Tabelle7[[#This Row],[Abrechungsmonat]])/3,0),"0")</calculatedColumnFormula>
    </tableColumn>
    <tableColumn id="5" xr3:uid="{D267E9BC-9065-4BA5-AA5A-86E905262783}" name="Abrechungsmonat" dataDxfId="105"/>
    <tableColumn id="6" xr3:uid="{B0ABC6DC-DF69-42A6-BDF4-A51655B3BA17}" name="Abgerechnete Leistungskomplexpunkte" dataDxfId="104"/>
    <tableColumn id="7" xr3:uid="{78314338-841A-4307-ABC4-5E490C253B5D}" name="Abgerechnete Zeitstunden" dataDxfId="103"/>
    <tableColumn id="8" xr3:uid="{3D8A16C8-C617-4FC4-A7AC-31A51BC47F07}" name="Hausbesuche für Einsätze bei einzelnen Pflegebedürftigen, nur Leistungen nach SGB XI" dataDxfId="102"/>
    <tableColumn id="9" xr3:uid="{702EBA7C-3DC6-4F51-BD78-81F08EF748CB}" name="Hausbesuche für Einsätze bei einzelnen Pflegebedürftigen, Leistungen nach SGB XI u. SGB V" dataDxfId="101"/>
    <tableColumn id="10" xr3:uid="{46F4B589-CD16-4448-B35D-92F023E7285B}" name="Hausbesuche für mehrere Pflegeeinsätze mit einmaliger Anfahrt, je Einsatz" dataDxfId="100"/>
    <tableColumn id="11" xr3:uid="{895D7FD1-9DCB-4879-9ECE-E026209C4C92}" name="Gesamtsumme der Förderung" dataDxfId="99">
      <calculatedColumnFormula>Tabelle7[[#This Row],[Abgerechnete Leistungskomplexpunkte]]*0.00254+Tabelle7[[#This Row],[Abgerechnete Zeitstunden]]*1.51+Tabelle7[[#This Row],[Hausbesuche für Einsätze bei einzelnen Pflegebedürftigen, nur Leistungen nach SGB XI]]*0.00254*100+Tabelle7[[#This Row],[Hausbesuche für Einsätze bei einzelnen Pflegebedürftigen, Leistungen nach SGB XI u. SGB V]]*0.00254*50+Tabelle7[[#This Row],[Hausbesuche für mehrere Pflegeeinsätze mit einmaliger Anfahrt, je Einsatz]]*0.00254*25</calculatedColumnFormula>
    </tableColumn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F4F71F2-6CED-48A6-8B64-BB7C1D1DD1DD}" name="Tabelle6" displayName="Tabelle6" ref="A4:K7" totalsRowShown="0">
  <autoFilter ref="A4:K7" xr:uid="{0F4F71F2-6CED-48A6-8B64-BB7C1D1DD1DD}"/>
  <tableColumns count="11">
    <tableColumn id="1" xr3:uid="{50A8F7D7-A2FE-417E-9EAA-30583D80D3AB}" name="Name des Anbieters"/>
    <tableColumn id="2" xr3:uid="{746DA0A9-1108-4EB2-975B-B8B33D12AF1B}" name="Institutionskennziffer (IK)"/>
    <tableColumn id="11" xr3:uid="{D7E91F02-C6CF-44B0-B57A-DCF3C041AA2B}" name="Anzahl versorgter Pflegebedürftiger (1. Quartal)"/>
    <tableColumn id="10" xr3:uid="{E8E0C8D2-221E-4FE7-87D4-7D03B6572A82}" name="Anzahl versorgter Pflegebedürftiger (2. Quartal)"/>
    <tableColumn id="9" xr3:uid="{50EDF163-931F-4D01-AD8D-1E035AB1E84E}" name="Anzahl versorgter Pflegebedürftiger (3. Quartal)"/>
    <tableColumn id="8" xr3:uid="{82817F1A-EFDD-4817-9376-C6E3131ADF89}" name="Anzahl versorgter Pflegebedürftiger (4. Quartal)"/>
    <tableColumn id="3" xr3:uid="{AAF50B10-77A4-4BF5-9532-42119788F4C2}" name="Bescheid vom "/>
    <tableColumn id="4" xr3:uid="{1D2AF45D-0749-40AC-85C9-68727A682573}" name="Beginn Förderzeitraum"/>
    <tableColumn id="5" xr3:uid="{3A6DE5F8-5394-471D-9765-27143443D2B8}" name="Ende Förderzeitraum"/>
    <tableColumn id="6" xr3:uid="{2FCA2794-0B4B-4F13-91BB-F51F82990F39}" name="Tagesbetrag" dataDxfId="97"/>
    <tableColumn id="7" xr3:uid="{514C74F5-9CCA-4395-A416-4A73DF0113C9}" name="Plätze laut VV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15BBE5E-F70B-4E1E-9745-21D70BB9E058}" name="Tabelle3" displayName="Tabelle3" ref="A4:L12" totalsRowShown="0" headerRowDxfId="89" dataDxfId="87" headerRowBorderDxfId="88" tableBorderDxfId="86">
  <autoFilter ref="A4:L12" xr:uid="{515BBE5E-F70B-4E1E-9745-21D70BB9E058}"/>
  <tableColumns count="12">
    <tableColumn id="1" xr3:uid="{600DBCDC-2510-44B8-878A-1A834175E137}" name="Name Einrichtung" dataDxfId="85"/>
    <tableColumn id="2" xr3:uid="{DF8B4993-AA60-46A8-8AE0-40669CD1FE6B}" name="IK-Nummer" dataDxfId="84"/>
    <tableColumn id="3" xr3:uid="{720C3E83-A5C9-46E6-B764-A1C11A907761}" name="Plätze laut Versorgungsvertrag" dataDxfId="83"/>
    <tableColumn id="4" xr3:uid="{6877B598-4228-4F70-83A1-77ED8554B9E5}" name="Datum Auszahlungsbescheid" dataDxfId="82"/>
    <tableColumn id="12" xr3:uid="{8C2417E6-80DB-4361-B4E3-F7403BE20004}" name="Quartal" dataDxfId="81">
      <calculatedColumnFormula>IF(Tabelle3[[#This Row],[Abrechnungszeitraum Ende]]&gt;0,ROUNDUP(MONTH(Tabelle3[[#This Row],[Abrechnungszeitraum Ende]])/3,0),"0")</calculatedColumnFormula>
    </tableColumn>
    <tableColumn id="5" xr3:uid="{A5BCC3CC-5EAE-41F9-A582-1A0585803B27}" name="Abrechnungszeitraum Beginn" dataDxfId="80"/>
    <tableColumn id="6" xr3:uid="{CCCEA284-F4E4-495A-BE5A-33657A8008AE}" name="Abrechnungszeitraum Ende" dataDxfId="79"/>
    <tableColumn id="7" xr3:uid="{33950099-7C29-42DA-AFF7-2D7CD47C063F}" name="Öffnungstage" dataDxfId="78"/>
    <tableColumn id="8" xr3:uid="{C70C26B5-E4A4-42A7-9CEC-06628F3A7860}" name="Belegungstage" dataDxfId="77"/>
    <tableColumn id="9" xr3:uid="{71A0FAC8-BE26-4A25-9FD6-7721A9437F1C}" name="Auslastung" dataDxfId="76">
      <calculatedColumnFormula>Tabelle3[[#This Row],[Belegungstage]]/(Tabelle3[[#This Row],[Öffnungstage]]*Tabelle3[[#This Row],[Plätze laut Versorgungsvertrag]])</calculatedColumnFormula>
    </tableColumn>
    <tableColumn id="10" xr3:uid="{63BE6A45-316C-41DF-9371-205A73EC62D0}" name="Tagesbetrag" dataDxfId="75"/>
    <tableColumn id="11" xr3:uid="{405A9333-6FB4-4356-9602-5F551C896FAE}" name="Gesamtsumme der Förderung" dataDxfId="74">
      <calculatedColumnFormula>Tabelle3[[#This Row],[Belegungstage]]*Tabelle3[[#This Row],[Tagesbetrag]]</calculatedColumnFormula>
    </tableColumn>
  </tableColumns>
  <tableStyleInfo name="TableStyleLight2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7603858-8F32-49D7-8CAD-282EA2C2AAE3}" name="Tabelle39" displayName="Tabelle39" ref="A4:K30" totalsRowShown="0" headerRowDxfId="43" dataDxfId="41" headerRowBorderDxfId="42" tableBorderDxfId="40">
  <autoFilter ref="A4:K30" xr:uid="{D7603858-8F32-49D7-8CAD-282EA2C2AAE3}"/>
  <tableColumns count="11">
    <tableColumn id="1" xr3:uid="{C9F92422-E5C2-4403-9ACF-6A7004740763}" name="Name Einrichtung" dataDxfId="39"/>
    <tableColumn id="2" xr3:uid="{DAC3ADB2-77B0-4CFC-ABEA-C9280CF8C45C}" name="IK-Nummer" dataDxfId="38"/>
    <tableColumn id="3" xr3:uid="{BD8DBECC-6D48-466C-9B26-5EC98A50884A}" name="Plätze laut Versorgungsvertrag" dataDxfId="37"/>
    <tableColumn id="4" xr3:uid="{6DCC559D-5A96-4C49-A9AF-39009E151909}" name="Datum Auszahlungsbescheid" dataDxfId="36"/>
    <tableColumn id="12" xr3:uid="{A7AE51C2-9EF6-4AD9-B5C5-B93024702E8D}" name="Quartal" dataDxfId="35">
      <calculatedColumnFormula>IF(Tabelle39[[#This Row],[Abrechungsmonat]]&gt;0,ROUNDUP(MONTH(Tabelle39[[#This Row],[Abrechungsmonat]])/3,0),"0")</calculatedColumnFormula>
    </tableColumn>
    <tableColumn id="5" xr3:uid="{BC6BE9F1-AE92-4F0C-B021-B42CD70F7291}" name="Abrechungsmonat" dataDxfId="34"/>
    <tableColumn id="7" xr3:uid="{7C19CEE4-7802-464B-846E-C4E6C4C0EE33}" name="Öffnungstage" dataDxfId="33"/>
    <tableColumn id="8" xr3:uid="{63161773-2EFD-4C28-8888-46366A8E6FEB}" name="Belegungstage" dataDxfId="32"/>
    <tableColumn id="9" xr3:uid="{36A1BBC0-DB08-47AE-BD22-0537A64DB7B7}" name="Auslastung" dataDxfId="31">
      <calculatedColumnFormula>Tabelle39[[#This Row],[Belegungstage]]/(Tabelle39[[#This Row],[Öffnungstage]]*Tabelle39[[#This Row],[Plätze laut Versorgungsvertrag]])</calculatedColumnFormula>
    </tableColumn>
    <tableColumn id="10" xr3:uid="{ED3F3906-9295-4DDD-8214-3D6A957CD779}" name="Tagesbetrag" dataDxfId="30"/>
    <tableColumn id="11" xr3:uid="{DDBC9C1E-F440-4027-8F41-A5D088F5F196}" name="Gesamtsumme der Förderung" dataDxfId="29">
      <calculatedColumnFormula>Tabelle39[[#This Row],[Belegungstage]]*Tabelle39[[#This Row],[Tagesbetrag]]</calculatedColumnFormula>
    </tableColumn>
  </tableColumns>
  <tableStyleInfo name="TableStyleLight2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24820C3-F4BB-4D9F-9C0B-825EE27869F1}" name="Tabelle5" displayName="Tabelle5" ref="A4:L11" totalsRowShown="0" headerRowDxfId="22" dataDxfId="20" headerRowBorderDxfId="21" tableBorderDxfId="19">
  <autoFilter ref="A4:L11" xr:uid="{424820C3-F4BB-4D9F-9C0B-825EE27869F1}"/>
  <tableColumns count="12">
    <tableColumn id="1" xr3:uid="{A59FB15C-98FE-4EAE-986B-E28056CA44A5}" name="Name Einrichtung" dataDxfId="18"/>
    <tableColumn id="2" xr3:uid="{9B5E3FDC-A424-4D06-9AA5-AF69F7BAE3AE}" name="IK-Nummer" dataDxfId="17"/>
    <tableColumn id="3" xr3:uid="{3F584458-C55D-4F03-82D3-F0C4C1EA46BF}" name="Plätze laut Versorgungsvertrag" dataDxfId="16"/>
    <tableColumn id="4" xr3:uid="{1D7BEA8F-B6BF-4A8E-B6A9-71A2BAC37EA7}" name="Datum Auszahlungsbescheid" dataDxfId="15"/>
    <tableColumn id="12" xr3:uid="{9F979567-44D2-4073-A60C-CAB9BD0D3A1B}" name="Quartal" dataDxfId="14">
      <calculatedColumnFormula>IF(Tabelle5[[#This Row],[Abrechnungszeitraum Ende]]&gt;0,ROUNDUP(MONTH(Tabelle5[[#This Row],[Abrechnungszeitraum Ende]])/3,0),"0")</calculatedColumnFormula>
    </tableColumn>
    <tableColumn id="5" xr3:uid="{ECA1E889-E87E-4196-BDA5-7C4245DA92BC}" name="Abrechnungszeitraum Beginn" dataDxfId="13"/>
    <tableColumn id="6" xr3:uid="{4086594B-537A-4F31-8598-3BF31A09F125}" name="Abrechnungszeitraum Ende" dataDxfId="12"/>
    <tableColumn id="7" xr3:uid="{25FA27C6-7B28-4E5E-811F-45181AFAED3A}" name="Öffnungstage" dataDxfId="11"/>
    <tableColumn id="8" xr3:uid="{B9FBB586-0B1C-4E47-95E4-9979451EB657}" name="Belegungstage" dataDxfId="10"/>
    <tableColumn id="9" xr3:uid="{7909431E-2767-4F88-B6B2-77DC7CF47168}" name="Auslastung" dataDxfId="9">
      <calculatedColumnFormula>Tabelle5[[#This Row],[Belegungstage]]/(Tabelle5[[#This Row],[Plätze laut Versorgungsvertrag]]*Tabelle5[[#This Row],[Öffnungstage]])</calculatedColumnFormula>
    </tableColumn>
    <tableColumn id="10" xr3:uid="{6E041E73-7240-4B24-BE6B-B97C873C8C42}" name="Tagesbetrag" dataDxfId="8"/>
    <tableColumn id="11" xr3:uid="{54FFAD9D-7279-4AC1-9401-052EDD76B51C}" name="Gesamtsumme der Förderung" dataDxfId="7">
      <calculatedColumnFormula>Tabelle5[[#This Row],[Belegungstage]]*Tabelle5[[#This Row],[Tagesbetrag]]</calculatedColumnFormula>
    </tableColumn>
  </tableColumns>
  <tableStyleInfo name="TableStyleLight2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4F87A69-EBD0-4152-887D-CDE068E0EC76}" name="Tabelle4" displayName="Tabelle4" ref="A21:K24" totalsRowShown="0" tableBorderDxfId="6">
  <autoFilter ref="A21:K24" xr:uid="{94F87A69-EBD0-4152-887D-CDE068E0EC76}"/>
  <tableColumns count="11">
    <tableColumn id="1" xr3:uid="{2239F73B-B185-4A14-8093-59499FF43748}" name="Name des Anbieters"/>
    <tableColumn id="2" xr3:uid="{4C7B4BAF-E695-44D3-8FA7-C5943F22C517}" name="Institutionskennziffer (IK)"/>
    <tableColumn id="3" xr3:uid="{EB88D08F-6ADF-4B5F-AE81-7FC302EBBB3E}" name="Bescheid vom "/>
    <tableColumn id="4" xr3:uid="{71102D1A-EA5B-4CF5-8AF2-262486D87F3F}" name="Beginn Förderzeitraum"/>
    <tableColumn id="5" xr3:uid="{1DF72784-269C-4F84-AFF6-51A0AB4248DF}" name="Ende Förderzeitraum"/>
    <tableColumn id="6" xr3:uid="{6CB9E8CD-61BF-40FD-AF37-189FBFDB44C0}" name="Tagesbetrag" dataDxfId="5"/>
    <tableColumn id="7" xr3:uid="{BBF3883E-C7D6-4327-AFCF-6472988516AD}" name="Plätze laut Versorgungsvertrag" dataDxfId="4"/>
    <tableColumn id="8" xr3:uid="{5194AF55-F3C7-4E03-BEF0-81F4166E7F8A}" name="Anzahl versorgter Pflegebedürftiger (Quartal 1)" dataDxfId="3"/>
    <tableColumn id="9" xr3:uid="{EAB99D26-6E53-46EB-8F7F-F9AFD12DAE19}" name="Anzahl versorgter Pflegebedürftiger (Quartal 2)" dataDxfId="2"/>
    <tableColumn id="10" xr3:uid="{FE3090D1-035D-4E35-8691-2CCE4F7E3295}" name="Anzahl versorgter Pflegebedürftiger (Quartal 3)" dataDxfId="1"/>
    <tableColumn id="11" xr3:uid="{B82C6DE3-1E80-40E8-B3ED-EAC34842B437}" name="Anzahl versorgter Pflegebedürftiger (Quartal 4)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96981-AAE5-4F60-AA51-C55A79F480BF}">
  <dimension ref="A2:G54"/>
  <sheetViews>
    <sheetView tabSelected="1" topLeftCell="A10" zoomScale="115" zoomScaleNormal="115" workbookViewId="0">
      <selection activeCell="G21" sqref="G21"/>
    </sheetView>
  </sheetViews>
  <sheetFormatPr baseColWidth="10" defaultRowHeight="12.75" x14ac:dyDescent="0.2"/>
  <cols>
    <col min="1" max="1" width="46" style="21" bestFit="1" customWidth="1"/>
    <col min="2" max="2" width="18" customWidth="1"/>
    <col min="3" max="3" width="20.140625" bestFit="1" customWidth="1"/>
    <col min="4" max="4" width="18.42578125" customWidth="1"/>
    <col min="5" max="5" width="20.5703125" customWidth="1"/>
    <col min="6" max="6" width="22.85546875" customWidth="1"/>
    <col min="7" max="15" width="49.28515625" bestFit="1" customWidth="1"/>
    <col min="16" max="16" width="40.7109375" bestFit="1" customWidth="1"/>
    <col min="17" max="17" width="42.140625" bestFit="1" customWidth="1"/>
    <col min="18" max="18" width="57.5703125" bestFit="1" customWidth="1"/>
    <col min="19" max="20" width="33.85546875" bestFit="1" customWidth="1"/>
    <col min="21" max="21" width="34.140625" bestFit="1" customWidth="1"/>
    <col min="22" max="22" width="35.42578125" bestFit="1" customWidth="1"/>
    <col min="23" max="24" width="33.85546875" bestFit="1" customWidth="1"/>
    <col min="25" max="25" width="34.140625" bestFit="1" customWidth="1"/>
    <col min="26" max="26" width="35.42578125" bestFit="1" customWidth="1"/>
    <col min="27" max="28" width="33.85546875" bestFit="1" customWidth="1"/>
    <col min="29" max="29" width="34.140625" bestFit="1" customWidth="1"/>
    <col min="30" max="30" width="35.42578125" bestFit="1" customWidth="1"/>
    <col min="31" max="31" width="40.7109375" bestFit="1" customWidth="1"/>
    <col min="32" max="32" width="42.140625" bestFit="1" customWidth="1"/>
    <col min="33" max="33" width="15.7109375" bestFit="1" customWidth="1"/>
  </cols>
  <sheetData>
    <row r="2" spans="1:7" x14ac:dyDescent="0.2">
      <c r="A2" s="20"/>
    </row>
    <row r="3" spans="1:7" s="24" customFormat="1" x14ac:dyDescent="0.2">
      <c r="A3" s="137" t="s">
        <v>0</v>
      </c>
      <c r="B3" s="138"/>
      <c r="C3" s="23"/>
    </row>
    <row r="4" spans="1:7" s="24" customFormat="1" x14ac:dyDescent="0.2">
      <c r="A4" s="25" t="s">
        <v>7</v>
      </c>
      <c r="B4" s="26">
        <v>2025</v>
      </c>
      <c r="C4" s="23"/>
    </row>
    <row r="6" spans="1:7" s="35" customFormat="1" ht="11.25" x14ac:dyDescent="0.2">
      <c r="A6" s="157" t="s">
        <v>86</v>
      </c>
      <c r="B6" s="157"/>
      <c r="C6" s="157"/>
      <c r="D6" s="157"/>
      <c r="E6" s="157"/>
      <c r="F6" s="157"/>
    </row>
    <row r="7" spans="1:7" s="18" customFormat="1" x14ac:dyDescent="0.2">
      <c r="A7" s="25" t="s">
        <v>3</v>
      </c>
      <c r="B7" s="31" t="s">
        <v>40</v>
      </c>
      <c r="C7" s="31" t="s">
        <v>41</v>
      </c>
      <c r="D7" s="31" t="s">
        <v>42</v>
      </c>
      <c r="E7" s="31" t="s">
        <v>43</v>
      </c>
      <c r="F7" s="31" t="s">
        <v>44</v>
      </c>
    </row>
    <row r="8" spans="1:7" s="18" customFormat="1" ht="13.5" thickBot="1" x14ac:dyDescent="0.25">
      <c r="A8" s="148"/>
      <c r="B8" s="149"/>
      <c r="C8" s="149"/>
      <c r="D8" s="149"/>
      <c r="E8" s="149"/>
      <c r="F8" s="150"/>
    </row>
    <row r="9" spans="1:7" s="18" customFormat="1" ht="13.5" thickBot="1" x14ac:dyDescent="0.25">
      <c r="A9" s="139" t="s">
        <v>8</v>
      </c>
      <c r="B9" s="140"/>
      <c r="C9" s="140"/>
      <c r="D9" s="140"/>
      <c r="E9" s="140"/>
      <c r="F9" s="141"/>
    </row>
    <row r="10" spans="1:7" x14ac:dyDescent="0.2">
      <c r="A10" s="55" t="s">
        <v>18</v>
      </c>
      <c r="B10" s="114" cm="1">
        <f t="array" ref="B10">IFERROR(SUM(IF((Tabelle2[Quartal]=1)*(Tabelle2[Name Pflegedienst]&lt;&gt;""),1/COUNTIFS(Tabelle2[Name Pflegedienst],Tabelle2[Name Pflegedienst],Tabelle2[Quartal],1)))+(SUM(IF((Tabelle7[Quartal]=1)*(Tabelle7[Name Pflegedienst]&lt;&gt;""),1/COUNTIFS(Tabelle7[Name Pflegedienst],Tabelle7[Name Pflegedienst],Tabelle7[Quartal],1)))),"")</f>
        <v>6</v>
      </c>
      <c r="C10" s="115" cm="1">
        <f t="array" ref="C10">IFERROR((SUM(IF((Tabelle2[Quartal]=2)*(Tabelle2[Name Pflegedienst]&lt;&gt;""),1/COUNTIFS(Tabelle2[Name Pflegedienst],Tabelle2[Name Pflegedienst],Tabelle2[Quartal],2))))+(SUM(IF((Tabelle7[Quartal]=2)*(Tabelle7[Name Pflegedienst]&lt;&gt;""),1/COUNTIFS(Tabelle7[Name Pflegedienst],Tabelle7[Name Pflegedienst],Tabelle7[Quartal],2)))),"")</f>
        <v>3</v>
      </c>
      <c r="D10" s="116" cm="1">
        <f t="array" ref="D10">IFERROR((SUM(IF((Tabelle2[Quartal]=3)*(Tabelle2[Name Pflegedienst]&lt;&gt;""),1/COUNTIFS(Tabelle2[Name Pflegedienst],Tabelle2[Name Pflegedienst],Tabelle2[Quartal],3))))+(SUM(IF((Tabelle7[Quartal]=3)*(Tabelle7[Name Pflegedienst]&lt;&gt;""),1/COUNTIFS(Tabelle7[Name Pflegedienst],Tabelle7[Name Pflegedienst],Tabelle7[Quartal],3)))),"")</f>
        <v>3</v>
      </c>
      <c r="E10" s="115" cm="1">
        <f t="array" ref="E10">IFERROR((SUM(IF((Tabelle2[Quartal]=4)*(Tabelle2[Name Pflegedienst]&lt;&gt;""),1/COUNTIFS(Tabelle2[Name Pflegedienst],Tabelle2[Name Pflegedienst],Tabelle2[Quartal],4))))+(SUM(IF((Tabelle7[Quartal]=4)*(Tabelle7[Name Pflegedienst]&lt;&gt;""),1/COUNTIFS(Tabelle7[Name Pflegedienst],Tabelle7[Name Pflegedienst],Tabelle7[Quartal],4)))),"")</f>
        <v>1</v>
      </c>
      <c r="F10" s="117" cm="1">
        <f t="array" ref="F10">IFERROR((SUM((Tabelle2[Name Pflegedienst]&lt;&gt;"")/COUNTIF(Tabelle2[Name Pflegedienst],Tabelle2[Name Pflegedienst])))+(SUM((Tabelle7[Name Pflegedienst]&lt;&gt;"")/COUNTIF(Tabelle7[Name Pflegedienst],Tabelle7[Name Pflegedienst]))),"")</f>
        <v>8</v>
      </c>
      <c r="G10" s="112"/>
    </row>
    <row r="11" spans="1:7" x14ac:dyDescent="0.2">
      <c r="A11" s="55" t="s">
        <v>92</v>
      </c>
      <c r="B11" s="114">
        <f>IFERROR(SUM(Tabelle1[Anzahl versorgter Pflegebedürftiger (Quartal 1)]),"")</f>
        <v>513</v>
      </c>
      <c r="C11" s="131">
        <f>IFERROR(SUM(Tabelle1[Anzahl versorgter Pflegebedürftiger (Quartal 2)]),"")</f>
        <v>553</v>
      </c>
      <c r="D11" s="114">
        <f>IFERROR(SUM(Tabelle1[Anzahl versorgter Pflegebedürftiger (Quartal 3)]),"")</f>
        <v>159</v>
      </c>
      <c r="E11" s="131">
        <f>IFERROR(SUM(Tabelle1[Anzahl versorgter Pflegebedürftiger (Quartal 4)]),"")</f>
        <v>154</v>
      </c>
      <c r="F11" s="117">
        <f>AVERAGE(B11:E11)</f>
        <v>344.75</v>
      </c>
      <c r="G11" s="112"/>
    </row>
    <row r="12" spans="1:7" x14ac:dyDescent="0.2">
      <c r="A12" s="52" t="s">
        <v>9</v>
      </c>
      <c r="B12" s="118">
        <f>IFERROR(SUMIF(Tabelle2[Quartal],1,Tabelle2[Abgerechnete Leistungskomplexpunkte])+SUMIF(Tabelle7[Quartal],1,Tabelle7[Abgerechnete Leistungskomplexpunkte]),"")</f>
        <v>23456495</v>
      </c>
      <c r="C12" s="119">
        <f>SUMIF(Tabelle2[Quartal],2,Tabelle2[Abgerechnete Leistungskomplexpunkte])+SUMIF(Tabelle7[Quartal],2,Tabelle7[Abgerechnete Leistungskomplexpunkte])</f>
        <v>5428080</v>
      </c>
      <c r="D12" s="120">
        <f>SUMIF(Tabelle2[Quartal],3,Tabelle2[Abgerechnete Leistungskomplexpunkte])+SUMIF(Tabelle7[Quartal],3,Tabelle7[Abgerechnete Leistungskomplexpunkte])</f>
        <v>16773759</v>
      </c>
      <c r="E12" s="119">
        <f>SUMIF(Tabelle2[Quartal],4,Tabelle2[Abgerechnete Leistungskomplexpunkte])+SUMIF(Tabelle7[Quartal],4,Tabelle7[Abgerechnete Leistungskomplexpunkte])</f>
        <v>6405541</v>
      </c>
      <c r="F12" s="121">
        <f>SUM(B12:E12)</f>
        <v>52063875</v>
      </c>
      <c r="G12" s="112"/>
    </row>
    <row r="13" spans="1:7" x14ac:dyDescent="0.2">
      <c r="A13" s="52" t="s">
        <v>10</v>
      </c>
      <c r="B13" s="118">
        <f>SUMIF(Tabelle2[Quartal],1,Tabelle2[Abgerechnete Zeitstunden])+SUMIF(Tabelle7[Quartal],1,Tabelle7[Abgerechnete Zeitstunden])</f>
        <v>2440</v>
      </c>
      <c r="C13" s="119">
        <f>SUMIF(Tabelle2[Quartal],2,Tabelle2[Abgerechnete Zeitstunden])+SUMIF(Tabelle7[Quartal],2,Tabelle7[Abgerechnete Zeitstunden])</f>
        <v>1056</v>
      </c>
      <c r="D13" s="120">
        <f>SUMIF(Tabelle2[Quartal],3,Tabelle2[Abgerechnete Zeitstunden])+SUMIF(Tabelle7[Quartal],3,Tabelle7[Abgerechnete Zeitstunden])</f>
        <v>4256</v>
      </c>
      <c r="E13" s="119">
        <f>SUMIF(Tabelle2[Quartal],4,Tabelle2[Abgerechnete Zeitstunden])+SUMIF(Tabelle7[Quartal],4,Tabelle7[Abgerechnete Zeitstunden])</f>
        <v>895</v>
      </c>
      <c r="F13" s="121">
        <f t="shared" ref="F13:F16" si="0">SUM(B13:E13)</f>
        <v>8647</v>
      </c>
      <c r="G13" s="112"/>
    </row>
    <row r="14" spans="1:7" ht="25.5" x14ac:dyDescent="0.2">
      <c r="A14" s="52" t="s">
        <v>11</v>
      </c>
      <c r="B14" s="118">
        <f>SUMIF(Tabelle2[Quartal],1,Tabelle2[Hausbesuche für Einsätze bei einzelnen Pflegebedürftigen, nur Leistungen nach SGB XI])+SUMIF(Tabelle7[Quartal],1,Tabelle7[Hausbesuche für Einsätze bei einzelnen Pflegebedürftigen, nur Leistungen nach SGB XI])</f>
        <v>8081</v>
      </c>
      <c r="C14" s="119">
        <f>SUMIF(Tabelle2[Quartal],2,Tabelle2[Hausbesuche für Einsätze bei einzelnen Pflegebedürftigen, nur Leistungen nach SGB XI])+SUMIF(Tabelle7[Quartal],2,Tabelle7[Hausbesuche für Einsätze bei einzelnen Pflegebedürftigen, nur Leistungen nach SGB XI])</f>
        <v>1242</v>
      </c>
      <c r="D14" s="120">
        <f>SUMIF(Tabelle2[Quartal],3,Tabelle2[Hausbesuche für Einsätze bei einzelnen Pflegebedürftigen, nur Leistungen nach SGB XI])+SUMIF(Tabelle7[Quartal],3,Tabelle7[Hausbesuche für Einsätze bei einzelnen Pflegebedürftigen, nur Leistungen nach SGB XI])</f>
        <v>1075</v>
      </c>
      <c r="E14" s="119">
        <f>SUMIF(Tabelle2[Quartal],4,Tabelle2[Hausbesuche für Einsätze bei einzelnen Pflegebedürftigen, nur Leistungen nach SGB XI])+SUMIF(Tabelle7[Quartal],4,Tabelle7[Hausbesuche für Einsätze bei einzelnen Pflegebedürftigen, nur Leistungen nach SGB XI])</f>
        <v>1546</v>
      </c>
      <c r="F14" s="121">
        <f t="shared" si="0"/>
        <v>11944</v>
      </c>
      <c r="G14" s="112"/>
    </row>
    <row r="15" spans="1:7" ht="25.5" x14ac:dyDescent="0.2">
      <c r="A15" s="52" t="s">
        <v>12</v>
      </c>
      <c r="B15" s="118">
        <f>SUMIF(Tabelle2[Quartal],1,Tabelle2[Hausbesuche für Einsätze bei einzelnen Pflegebedürftigen, Leistungen nach SGB XI u. SGB V])+SUMIF(Tabelle7[Quartal],1,Tabelle7[Hausbesuche für Einsätze bei einzelnen Pflegebedürftigen, Leistungen nach SGB XI u. SGB V])</f>
        <v>7534</v>
      </c>
      <c r="C15" s="119">
        <f>SUMIF(Tabelle2[Quartal],2,Tabelle2[Hausbesuche für Einsätze bei einzelnen Pflegebedürftigen, Leistungen nach SGB XI u. SGB V])+SUMIF(Tabelle7[Quartal],2,Tabelle7[Hausbesuche für Einsätze bei einzelnen Pflegebedürftigen, Leistungen nach SGB XI u. SGB V])</f>
        <v>1404</v>
      </c>
      <c r="D15" s="120">
        <f>SUMIF(Tabelle2[Quartal],3,Tabelle2[Hausbesuche für Einsätze bei einzelnen Pflegebedürftigen, Leistungen nach SGB XI u. SGB V])+SUMIF(Tabelle7[Quartal],3,Tabelle7[Hausbesuche für Einsätze bei einzelnen Pflegebedürftigen, Leistungen nach SGB XI u. SGB V])</f>
        <v>785</v>
      </c>
      <c r="E15" s="119">
        <f>SUMIF(Tabelle2[Quartal],4,Tabelle2[Hausbesuche für Einsätze bei einzelnen Pflegebedürftigen, Leistungen nach SGB XI u. SGB V])+SUMIF(Tabelle7[Quartal],4,Tabelle7[Hausbesuche für Einsätze bei einzelnen Pflegebedürftigen, Leistungen nach SGB XI u. SGB V])</f>
        <v>264</v>
      </c>
      <c r="F15" s="121">
        <f t="shared" si="0"/>
        <v>9987</v>
      </c>
      <c r="G15" s="112"/>
    </row>
    <row r="16" spans="1:7" ht="26.25" thickBot="1" x14ac:dyDescent="0.25">
      <c r="A16" s="53" t="s">
        <v>13</v>
      </c>
      <c r="B16" s="122">
        <f>SUMIF(Tabelle2[Quartal],1,Tabelle2[Hausbesuche für mehrere Pflegeeinsätze mit einmaliger Anfahrt, je Einsatz])+SUMIF(Tabelle7[Quartal],1,Tabelle7[Hausbesuche für mehrere Pflegeeinsätze mit einmaliger Anfahrt, je Einsatz])</f>
        <v>3064</v>
      </c>
      <c r="C16" s="123">
        <f>SUMIF(Tabelle2[Quartal],2,Tabelle2[Hausbesuche für mehrere Pflegeeinsätze mit einmaliger Anfahrt, je Einsatz])+SUMIF(Tabelle7[Quartal],2,Tabelle7[Hausbesuche für mehrere Pflegeeinsätze mit einmaliger Anfahrt, je Einsatz])</f>
        <v>588</v>
      </c>
      <c r="D16" s="124">
        <f>SUMIF(Tabelle2[Quartal],3,Tabelle2[Hausbesuche für mehrere Pflegeeinsätze mit einmaliger Anfahrt, je Einsatz])+SUMIF(Tabelle7[Quartal],3,Tabelle7[Hausbesuche für mehrere Pflegeeinsätze mit einmaliger Anfahrt, je Einsatz])</f>
        <v>1046</v>
      </c>
      <c r="E16" s="123">
        <f>SUMIF(Tabelle2[Quartal],4,Tabelle2[Hausbesuche für mehrere Pflegeeinsätze mit einmaliger Anfahrt, je Einsatz])+SUMIF(Tabelle7[Quartal],4,Tabelle7[Hausbesuche für mehrere Pflegeeinsätze mit einmaliger Anfahrt, je Einsatz])</f>
        <v>541</v>
      </c>
      <c r="F16" s="121">
        <f t="shared" si="0"/>
        <v>5239</v>
      </c>
      <c r="G16" s="112"/>
    </row>
    <row r="17" spans="1:7" s="18" customFormat="1" ht="13.5" thickBot="1" x14ac:dyDescent="0.25">
      <c r="A17" s="54" t="s">
        <v>14</v>
      </c>
      <c r="B17" s="89">
        <f>SUMIF(Tabelle2[Quartal],1,Tabelle2[Gesamtsumme der Förderung])+SUMIF(Tabelle7[Quartal],1,Tabelle7[Gesamtsumme der Förderung])</f>
        <v>66467.853300000002</v>
      </c>
      <c r="C17" s="90">
        <f>SUMIF(Tabelle2[Quartal],2,Tabelle2[Gesamtsumme der Förderung])+SUMIF(Tabelle7[Quartal],2,Tabelle7[Gesamtsumme der Förderung])</f>
        <v>15912.997200000002</v>
      </c>
      <c r="D17" s="91">
        <f>SUMIF(Tabelle2[Quartal],3,Tabelle2[Gesamtsumme der Förderung])+SUMIF(Tabelle7[Quartal],3,Tabelle7[Gesamtsumme der Förderung])</f>
        <v>49471.073860000004</v>
      </c>
      <c r="E17" s="90">
        <f>SUMIF(Tabelle2[Quartal],4,Tabelle2[Gesamtsumme der Förderung])+SUMIF(Tabelle7[Quartal],4,Tabelle7[Gesamtsumme der Förderung])</f>
        <v>18082.089640000002</v>
      </c>
      <c r="F17" s="92">
        <f>SUM(B17:E17)</f>
        <v>149934.014</v>
      </c>
      <c r="G17" s="113"/>
    </row>
    <row r="18" spans="1:7" ht="13.5" thickBot="1" x14ac:dyDescent="0.25">
      <c r="A18" s="151"/>
      <c r="B18" s="152"/>
      <c r="C18" s="152"/>
      <c r="D18" s="152"/>
      <c r="E18" s="152"/>
      <c r="F18" s="153"/>
      <c r="G18" s="112"/>
    </row>
    <row r="19" spans="1:7" s="18" customFormat="1" ht="13.5" thickBot="1" x14ac:dyDescent="0.25">
      <c r="A19" s="154" t="s">
        <v>2</v>
      </c>
      <c r="B19" s="155"/>
      <c r="C19" s="155"/>
      <c r="D19" s="155"/>
      <c r="E19" s="155"/>
      <c r="F19" s="156"/>
      <c r="G19" s="113"/>
    </row>
    <row r="20" spans="1:7" x14ac:dyDescent="0.2">
      <c r="A20" s="55" t="s">
        <v>18</v>
      </c>
      <c r="B20" s="48" cm="1">
        <f t="array" ref="B20">SUM(IF((Tabelle3[Quartal]=1)*(Tabelle3[Name Einrichtung]&lt;&gt;""),1/COUNTIFS(Tabelle3[Name Einrichtung],Tabelle3[Name Einrichtung],Tabelle3[Quartal],1)))+SUM(IF((Tabelle39[Quartal]=1)*(Tabelle39[Name Einrichtung]&lt;&gt;""),1/COUNTIFS(Tabelle39[Name Einrichtung],Tabelle39[Name Einrichtung],Tabelle39[Quartal],1)))</f>
        <v>6.9999999999999991</v>
      </c>
      <c r="C20" s="58" cm="1">
        <f t="array" ref="C20">SUM(IF((Tabelle3[Quartal]=2)*(Tabelle3[Name Einrichtung]&lt;&gt;""),1/COUNTIFS(Tabelle3[Name Einrichtung],Tabelle3[Name Einrichtung],Tabelle3[Quartal],2)))+SUM(IF((Tabelle39[Quartal]=2)*(Tabelle39[Name Einrichtung]&lt;&gt;""),1/COUNTIFS(Tabelle39[Name Einrichtung],Tabelle39[Name Einrichtung],Tabelle39[Quartal],2)))</f>
        <v>9</v>
      </c>
      <c r="D20" s="47" cm="1">
        <f t="array" ref="D20">SUM(IF((Tabelle3[Quartal]=3)*(Tabelle3[Name Einrichtung]&lt;&gt;""),1/COUNTIFS(Tabelle3[Name Einrichtung],Tabelle3[Name Einrichtung],Tabelle3[Quartal],3)))+SUM(IF((Tabelle39[Quartal]=3)*(Tabelle39[Name Einrichtung]&lt;&gt;""),1/COUNTIFS(Tabelle39[Name Einrichtung],Tabelle39[Name Einrichtung],Tabelle39[Quartal],3)))</f>
        <v>3</v>
      </c>
      <c r="E20" s="58" cm="1">
        <f t="array" ref="E20">SUM(IF((Tabelle3[Quartal]=4)*(Tabelle3[Name Einrichtung]&lt;&gt;""),1/COUNTIFS(Tabelle3[Name Einrichtung],Tabelle3[Name Einrichtung],Tabelle3[Quartal],4)))+SUM(IF((Tabelle39[Quartal]=4)*(Tabelle39[Name Einrichtung]&lt;&gt;""),1/COUNTIFS(Tabelle39[Name Einrichtung],Tabelle39[Name Einrichtung],Tabelle39[Quartal],4)))</f>
        <v>2</v>
      </c>
      <c r="F20" s="56">
        <f>COUNTIF(Tabelle6[Name des Anbieters],"*")</f>
        <v>3</v>
      </c>
      <c r="G20" s="112"/>
    </row>
    <row r="21" spans="1:7" ht="25.5" x14ac:dyDescent="0.2">
      <c r="A21" s="52" t="s">
        <v>15</v>
      </c>
      <c r="B21" s="181"/>
      <c r="C21" s="182"/>
      <c r="D21" s="182"/>
      <c r="E21" s="183"/>
      <c r="F21" s="110">
        <f>SUM(Tabelle6[Plätze laut VV])</f>
        <v>65</v>
      </c>
      <c r="G21" s="112"/>
    </row>
    <row r="22" spans="1:7" x14ac:dyDescent="0.2">
      <c r="A22" s="52" t="s">
        <v>92</v>
      </c>
      <c r="B22" s="51">
        <f>IFERROR(SUM(Tabelle6[Anzahl versorgter Pflegebedürftiger (1. Quartal)]),"")</f>
        <v>123</v>
      </c>
      <c r="C22" s="134">
        <f>IFERROR(SUM(Tabelle6[Anzahl versorgter Pflegebedürftiger (2. Quartal)]),"")</f>
        <v>112</v>
      </c>
      <c r="D22" s="51">
        <f>IFERROR(SUM(Tabelle6[Anzahl versorgter Pflegebedürftiger (3. Quartal)]),"")</f>
        <v>141</v>
      </c>
      <c r="E22" s="134">
        <f>IFERROR(SUM(Tabelle6[Anzahl versorgter Pflegebedürftiger (4. Quartal)]),"")</f>
        <v>121</v>
      </c>
      <c r="F22" s="110">
        <f>AVERAGE(B22:E22)</f>
        <v>124.25</v>
      </c>
      <c r="G22" s="112"/>
    </row>
    <row r="23" spans="1:7" x14ac:dyDescent="0.2">
      <c r="A23" s="52" t="s">
        <v>32</v>
      </c>
      <c r="B23" s="51">
        <f>SUMIF(Tabelle3[Quartal],1,Tabelle3[Öffnungstage])+SUMIF(Tabelle39[Quartal],1,Tabelle39[Öffnungstage])</f>
        <v>413</v>
      </c>
      <c r="C23" s="57">
        <f>SUMIF(Tabelle3[Quartal],2,Tabelle3[Öffnungstage])+SUMIF(Tabelle39[Quartal],2,Tabelle39[Öffnungstage])</f>
        <v>385</v>
      </c>
      <c r="D23" s="28">
        <f>SUMIF(Tabelle3[Quartal],3,Tabelle3[Öffnungstage])+SUMIF(Tabelle39[Quartal],3,Tabelle39[Öffnungstage])</f>
        <v>125</v>
      </c>
      <c r="E23" s="57">
        <f>SUMIF(Tabelle3[Quartal],4,Tabelle3[Öffnungstage])+SUMIF(Tabelle39[Quartal],4,Tabelle39[Öffnungstage])</f>
        <v>80</v>
      </c>
      <c r="F23" s="50">
        <f>SUM(B23:E23)</f>
        <v>1003</v>
      </c>
      <c r="G23" s="112"/>
    </row>
    <row r="24" spans="1:7" x14ac:dyDescent="0.2">
      <c r="A24" s="52" t="s">
        <v>16</v>
      </c>
      <c r="B24" s="118">
        <f>SUMIF(Tabelle3[Quartal],1,Tabelle3[Belegungstage])+SUMIF(Tabelle39[Quartal],1,Tabelle39[Belegungstage])</f>
        <v>8269</v>
      </c>
      <c r="C24" s="119">
        <f>SUMIF(Tabelle3[Quartal],2,Tabelle3[Belegungstage])+SUMIF(Tabelle39[Quartal],2,Tabelle39[Belegungstage])</f>
        <v>6302</v>
      </c>
      <c r="D24" s="120">
        <f>SUMIF(Tabelle3[Quartal],3,Tabelle3[Belegungstage])+SUMIF(Tabelle39[Quartal],3,Tabelle39[Belegungstage])</f>
        <v>1711</v>
      </c>
      <c r="E24" s="119">
        <f>SUMIF(Tabelle3[Quartal],4,Tabelle3[Belegungstage])+SUMIF(Tabelle39[Quartal],4,Tabelle39[Belegungstage])</f>
        <v>1665</v>
      </c>
      <c r="F24" s="121">
        <f>SUM(B24:E24)</f>
        <v>17947</v>
      </c>
      <c r="G24" s="112"/>
    </row>
    <row r="25" spans="1:7" x14ac:dyDescent="0.2">
      <c r="A25" s="52" t="s">
        <v>5</v>
      </c>
      <c r="B25" s="81">
        <f>(AVERAGEIF(Tabelle3[Quartal],1,Tabelle3[Auslastung])+AVERAGEIF(Tabelle39[Quartal],1,Tabelle39[Auslastung]))/2</f>
        <v>0.76251169151099241</v>
      </c>
      <c r="C25" s="82">
        <f>(AVERAGEIF(Tabelle3[Quartal],2,Tabelle3[Auslastung])+AVERAGEIF(Tabelle39[Quartal],2,Tabelle39[Auslastung]))/2</f>
        <v>0.75280611713062484</v>
      </c>
      <c r="D25" s="83">
        <f>(AVERAGEIF(Tabelle3[Quartal],3,Tabelle3[Auslastung])+AVERAGEIF(Tabelle39[Quartal],3,Tabelle39[Auslastung]))/2</f>
        <v>0.6448896631823462</v>
      </c>
      <c r="E25" s="82">
        <f>(AVERAGEIF(Tabelle3[Quartal],4,Tabelle3[Auslastung])+AVERAGEIF(Tabelle39[Quartal],4,Tabelle39[Auslastung]))/2</f>
        <v>0.68502824858757061</v>
      </c>
      <c r="F25" s="84">
        <f>AVERAGE(B25:E25)</f>
        <v>0.71130893010288354</v>
      </c>
      <c r="G25" s="112"/>
    </row>
    <row r="26" spans="1:7" ht="13.5" thickBot="1" x14ac:dyDescent="0.25">
      <c r="A26" s="53" t="s">
        <v>34</v>
      </c>
      <c r="B26" s="85">
        <f>(AVERAGEIF(Tabelle3[Quartal],1,Tabelle3[Tagesbetrag])+AVERAGEIF(Tabelle39[Quartal],1,Tabelle39[Tagesbetrag]))/2</f>
        <v>12.18</v>
      </c>
      <c r="C26" s="86">
        <f>(AVERAGEIF(Tabelle3[Quartal],2,Tabelle3[Tagesbetrag])+AVERAGEIF(Tabelle39[Quartal],2,Tabelle39[Tagesbetrag]))/2</f>
        <v>11.441964285714285</v>
      </c>
      <c r="D26" s="111">
        <f>(AVERAGEIF(Tabelle3[Quartal],3,Tabelle3[Tagesbetrag])+AVERAGEIF(Tabelle3[Quartal],3,Tabelle3[Tagesbetrag]))/2</f>
        <v>11.48</v>
      </c>
      <c r="E26" s="86">
        <f>AVERAGEIF(Tabelle3[Quartal],4,Tabelle3[Tagesbetrag])+AVERAGEIF(Tabelle39[Quartal],4,Tabelle39[Tagesbetrag])</f>
        <v>23.369999999999997</v>
      </c>
      <c r="F26" s="88">
        <f>AVERAGE(B26:E26)</f>
        <v>14.617991071428571</v>
      </c>
      <c r="G26" s="112"/>
    </row>
    <row r="27" spans="1:7" s="18" customFormat="1" ht="13.5" thickBot="1" x14ac:dyDescent="0.25">
      <c r="A27" s="54" t="s">
        <v>14</v>
      </c>
      <c r="B27" s="89">
        <f>SUMIF(Tabelle3[Quartal],1,Tabelle3[Gesamtsumme der Förderung])+SUMIF(Tabelle39[Quartal],1,Tabelle39[Gesamtsumme der Förderung])</f>
        <v>97349.689999999988</v>
      </c>
      <c r="C27" s="90">
        <f>SUMIF(Tabelle3[Quartal],2,Tabelle3[Gesamtsumme der Förderung])+SUMIF(Tabelle39[Quartal],2,Tabelle39[Gesamtsumme der Förderung])</f>
        <v>72990.3</v>
      </c>
      <c r="D27" s="91">
        <f>SUMIF(Tabelle3[Quartal],3,Tabelle3[Gesamtsumme der Förderung])</f>
        <v>14045.01</v>
      </c>
      <c r="E27" s="90">
        <f>SUMIF(Tabelle3[Quartal],4,Tabelle3[Gesamtsumme der Förderung])+SUMIF(Tabelle39[Quartal],4,Tabelle39[Gesamtsumme der Förderung])</f>
        <v>20845.649999999998</v>
      </c>
      <c r="F27" s="92">
        <f>SUM(B27:E27)</f>
        <v>205230.65</v>
      </c>
      <c r="G27" s="112"/>
    </row>
    <row r="28" spans="1:7" ht="13.5" thickBot="1" x14ac:dyDescent="0.25">
      <c r="A28" s="151"/>
      <c r="B28" s="152"/>
      <c r="C28" s="152"/>
      <c r="D28" s="152"/>
      <c r="E28" s="152"/>
      <c r="F28" s="153"/>
    </row>
    <row r="29" spans="1:7" s="18" customFormat="1" ht="13.5" thickBot="1" x14ac:dyDescent="0.25">
      <c r="A29" s="139" t="s">
        <v>17</v>
      </c>
      <c r="B29" s="140"/>
      <c r="C29" s="140"/>
      <c r="D29" s="140"/>
      <c r="E29" s="140"/>
      <c r="F29" s="141"/>
    </row>
    <row r="30" spans="1:7" x14ac:dyDescent="0.2">
      <c r="A30" s="55" t="s">
        <v>18</v>
      </c>
      <c r="B30" s="48" cm="1">
        <f t="array" ref="B30">SUM(IF((Tabelle5[Quartal]=1)*(Tabelle5[Name Einrichtung]&lt;&gt;""),1/COUNTIFS(Tabelle5[Name Einrichtung],Tabelle5[Name Einrichtung],Tabelle5[Quartal],1)))</f>
        <v>1</v>
      </c>
      <c r="C30" s="58" cm="1">
        <f t="array" ref="C30">SUM(IF((Tabelle5[Quartal]=2)*(Tabelle5[Name Einrichtung]&lt;&gt;""),1/COUNTIFS(Tabelle5[Name Einrichtung],Tabelle5[Name Einrichtung],Tabelle5[Quartal],2)))</f>
        <v>2</v>
      </c>
      <c r="D30" s="47" cm="1">
        <f t="array" ref="D30">SUM(IF((Tabelle5[Quartal]=3)*(Tabelle5[Name Einrichtung]&lt;&gt;""),1/COUNTIFS(Tabelle5[Name Einrichtung],Tabelle5[Name Einrichtung],Tabelle5[Quartal],3)))</f>
        <v>2</v>
      </c>
      <c r="E30" s="58" cm="1">
        <f t="array" ref="E30">SUM(IF((Tabelle5[Quartal]=4)*(Tabelle5[Name Einrichtung]&lt;&gt;""),1/COUNTIFS(Tabelle5[Name Einrichtung],Tabelle5[Name Einrichtung],Tabelle5[Quartal],4)))</f>
        <v>2</v>
      </c>
      <c r="F30" s="56" cm="1">
        <f t="array" ref="F30">SUM((Tabelle5[Name Einrichtung]&lt;&gt;"")/COUNTIF(Tabelle5[Name Einrichtung],Tabelle5[Name Einrichtung]))</f>
        <v>3</v>
      </c>
    </row>
    <row r="31" spans="1:7" x14ac:dyDescent="0.2">
      <c r="A31" s="55" t="s">
        <v>92</v>
      </c>
      <c r="B31" s="48">
        <f>IFERROR(SUM(Tabelle4[Anzahl versorgter Pflegebedürftiger (Quartal 1)]),"")</f>
        <v>91</v>
      </c>
      <c r="C31" s="135">
        <f>IFERROR(SUM(Tabelle4[Anzahl versorgter Pflegebedürftiger (Quartal 2)]),"")</f>
        <v>0.87</v>
      </c>
      <c r="D31" s="48">
        <f>IFERROR(SUM(Tabelle4[Anzahl versorgter Pflegebedürftiger (Quartal 3)]),"")</f>
        <v>82</v>
      </c>
      <c r="E31" s="135">
        <f>IFERROR(SUM(Tabelle4[Anzahl versorgter Pflegebedürftiger (Quartal 4)]),"")</f>
        <v>83</v>
      </c>
      <c r="F31" s="56">
        <f>AVERAGE(B31:E31)</f>
        <v>64.217500000000001</v>
      </c>
    </row>
    <row r="32" spans="1:7" ht="25.5" x14ac:dyDescent="0.2">
      <c r="A32" s="52" t="s">
        <v>15</v>
      </c>
      <c r="B32" s="51">
        <f>SUMIF(Tabelle5[Quartal],1,Tabelle5[Plätze laut Versorgungsvertrag])</f>
        <v>35</v>
      </c>
      <c r="C32" s="57">
        <f>SUMIF(Tabelle5[Quartal],2,Tabelle5[Plätze laut Versorgungsvertrag])</f>
        <v>75</v>
      </c>
      <c r="D32" s="28">
        <f>SUMIF(Tabelle5[Quartal],3,Tabelle5[Plätze laut Versorgungsvertrag])</f>
        <v>75</v>
      </c>
      <c r="E32" s="57">
        <f>SUMIF(Tabelle5[Quartal],4,Tabelle5[Plätze laut Versorgungsvertrag])</f>
        <v>50</v>
      </c>
      <c r="F32" s="184"/>
      <c r="G32" s="95"/>
    </row>
    <row r="33" spans="1:7" x14ac:dyDescent="0.2">
      <c r="A33" s="52" t="s">
        <v>16</v>
      </c>
      <c r="B33" s="118">
        <f>SUMIF(Tabelle5[Quartal],1,Tabelle5[Belegungstage])</f>
        <v>2412</v>
      </c>
      <c r="C33" s="119">
        <f>SUMIF(Tabelle5[Quartal],2,Tabelle5[Belegungstage])</f>
        <v>3351</v>
      </c>
      <c r="D33" s="120">
        <f>SUMIF(Tabelle5[Quartal],3,Tabelle5[Belegungstage])</f>
        <v>2526</v>
      </c>
      <c r="E33" s="119">
        <f>SUMIF(Tabelle5[Quartal],4,Tabelle5[Belegungstage])</f>
        <v>3090</v>
      </c>
      <c r="F33" s="121">
        <f>SUM(B33:E33)</f>
        <v>11379</v>
      </c>
    </row>
    <row r="34" spans="1:7" x14ac:dyDescent="0.2">
      <c r="A34" s="52" t="s">
        <v>32</v>
      </c>
      <c r="B34" s="51">
        <f>SUMIF(Tabelle5[Quartal],1,Tabelle5[Öffnungstage])</f>
        <v>92</v>
      </c>
      <c r="C34" s="57">
        <f>SUMIF(Tabelle5[Quartal],2,Tabelle5[Öffnungstage])</f>
        <v>182</v>
      </c>
      <c r="D34" s="28">
        <f>SUMIF(Tabelle5[Quartal],3,Tabelle5[Öffnungstage])</f>
        <v>180</v>
      </c>
      <c r="E34" s="57">
        <f>SUMIF(Tabelle5[Quartal],4,Tabelle5[Öffnungstage])</f>
        <v>121</v>
      </c>
      <c r="F34" s="50">
        <f>SUM(B34:E34)</f>
        <v>575</v>
      </c>
    </row>
    <row r="35" spans="1:7" x14ac:dyDescent="0.2">
      <c r="A35" s="52" t="s">
        <v>5</v>
      </c>
      <c r="B35" s="81">
        <f>AVERAGEIF(Tabelle5[Quartal],1,Tabelle5[Auslastung])</f>
        <v>0.7490683229813665</v>
      </c>
      <c r="C35" s="82">
        <f>AVERAGEIF(Tabelle5[Quartal],2,Tabelle5[Auslastung])</f>
        <v>0.51328492935635794</v>
      </c>
      <c r="D35" s="83">
        <f>AVERAGEIF(Tabelle5[Quartal],3,Tabelle5[Auslastung])</f>
        <v>0.38696428571428571</v>
      </c>
      <c r="E35" s="82">
        <f>AVERAGEIF(Tabelle5[Quartal],4,Tabelle5[Auslastung])</f>
        <v>0.90680969823826962</v>
      </c>
      <c r="F35" s="84">
        <f>AVERAGE(B35:E35)</f>
        <v>0.63903180907256996</v>
      </c>
    </row>
    <row r="36" spans="1:7" ht="13.5" thickBot="1" x14ac:dyDescent="0.25">
      <c r="A36" s="53" t="s">
        <v>34</v>
      </c>
      <c r="B36" s="85">
        <f>AVERAGEIF(Tabelle5[Quartal],1,Tabelle5[Tagesbetrag])</f>
        <v>25</v>
      </c>
      <c r="C36" s="86">
        <f>AVERAGEIF(Tabelle5[Quartal],2,Tabelle5[Tagesbetrag])</f>
        <v>29.5</v>
      </c>
      <c r="D36" s="87">
        <f>AVERAGEIF(Tabelle5[Quartal],3,Tabelle5[Tagesbetrag])</f>
        <v>29.5</v>
      </c>
      <c r="E36" s="86">
        <f>AVERAGEIF(Tabelle5[Quartal],4,Tabelle5[Tagesbetrag])</f>
        <v>27</v>
      </c>
      <c r="F36" s="88">
        <f>AVERAGE(B36:E36)</f>
        <v>27.75</v>
      </c>
      <c r="G36" s="93"/>
    </row>
    <row r="37" spans="1:7" s="18" customFormat="1" ht="13.5" thickBot="1" x14ac:dyDescent="0.25">
      <c r="A37" s="54" t="s">
        <v>14</v>
      </c>
      <c r="B37" s="89">
        <f>SUMIF(Tabelle5[Quartal],1,Tabelle5[Gesamtsumme der Förderung])</f>
        <v>60300</v>
      </c>
      <c r="C37" s="90">
        <f>SUMIF(Tabelle5[Quartal],2,Tabelle5[Gesamtsumme der Förderung])</f>
        <v>89634</v>
      </c>
      <c r="D37" s="91">
        <f>SUMIF(Tabelle5[Quartal],3,Tabelle5[Gesamtsumme der Förderung])</f>
        <v>69495</v>
      </c>
      <c r="E37" s="90">
        <f>SUMIF(Tabelle5[Quartal],4,Tabelle5[Gesamtsumme der Förderung])</f>
        <v>79018</v>
      </c>
      <c r="F37" s="92">
        <f>SUM(B37:E37)</f>
        <v>298447</v>
      </c>
    </row>
    <row r="38" spans="1:7" s="18" customFormat="1" x14ac:dyDescent="0.2">
      <c r="A38" s="22"/>
      <c r="B38" s="24"/>
      <c r="C38" s="24"/>
      <c r="D38" s="24"/>
      <c r="E38" s="24"/>
      <c r="F38" s="24"/>
    </row>
    <row r="40" spans="1:7" ht="13.5" thickBot="1" x14ac:dyDescent="0.25">
      <c r="C40" s="59" t="s">
        <v>45</v>
      </c>
    </row>
    <row r="41" spans="1:7" x14ac:dyDescent="0.2">
      <c r="A41" s="69" t="s">
        <v>48</v>
      </c>
      <c r="B41" s="142"/>
      <c r="C41" s="60" t="s">
        <v>46</v>
      </c>
      <c r="D41" s="144"/>
      <c r="E41" s="145"/>
    </row>
    <row r="42" spans="1:7" s="18" customFormat="1" x14ac:dyDescent="0.2">
      <c r="A42" s="70" t="s">
        <v>20</v>
      </c>
      <c r="B42" s="143"/>
      <c r="C42" s="27"/>
      <c r="D42" s="146"/>
      <c r="E42" s="147"/>
    </row>
    <row r="43" spans="1:7" ht="25.5" x14ac:dyDescent="0.2">
      <c r="A43" s="52" t="s">
        <v>19</v>
      </c>
      <c r="B43" s="67"/>
      <c r="C43" s="28"/>
      <c r="D43" s="29"/>
      <c r="E43" s="62"/>
    </row>
    <row r="44" spans="1:7" ht="25.5" x14ac:dyDescent="0.2">
      <c r="A44" s="52" t="s">
        <v>50</v>
      </c>
      <c r="B44" s="67"/>
      <c r="C44" s="28"/>
      <c r="D44" s="29"/>
      <c r="E44" s="62"/>
    </row>
    <row r="45" spans="1:7" ht="25.5" x14ac:dyDescent="0.2">
      <c r="A45" s="52" t="s">
        <v>49</v>
      </c>
      <c r="B45" s="67"/>
      <c r="C45" s="28"/>
      <c r="D45" s="29"/>
      <c r="E45" s="62"/>
    </row>
    <row r="46" spans="1:7" s="18" customFormat="1" x14ac:dyDescent="0.2">
      <c r="A46" s="70" t="s">
        <v>22</v>
      </c>
      <c r="B46" s="66"/>
      <c r="C46" s="27"/>
      <c r="D46" s="30"/>
      <c r="E46" s="61"/>
    </row>
    <row r="47" spans="1:7" ht="25.5" x14ac:dyDescent="0.2">
      <c r="A47" s="52" t="s">
        <v>23</v>
      </c>
      <c r="B47" s="67"/>
      <c r="C47" s="28"/>
      <c r="D47" s="29"/>
      <c r="E47" s="62"/>
    </row>
    <row r="48" spans="1:7" x14ac:dyDescent="0.2">
      <c r="A48" s="52" t="s">
        <v>51</v>
      </c>
      <c r="B48" s="67"/>
      <c r="C48" s="28"/>
      <c r="D48" s="29"/>
      <c r="E48" s="62"/>
    </row>
    <row r="49" spans="1:5" ht="13.5" thickBot="1" x14ac:dyDescent="0.25">
      <c r="A49" s="71" t="s">
        <v>52</v>
      </c>
      <c r="B49" s="68"/>
      <c r="C49" s="64"/>
      <c r="D49" s="63"/>
      <c r="E49" s="65"/>
    </row>
    <row r="50" spans="1:5" x14ac:dyDescent="0.2">
      <c r="A50" s="34" t="s">
        <v>21</v>
      </c>
    </row>
    <row r="51" spans="1:5" x14ac:dyDescent="0.2">
      <c r="A51" s="49"/>
    </row>
    <row r="53" spans="1:5" x14ac:dyDescent="0.2">
      <c r="A53" s="33"/>
    </row>
    <row r="54" spans="1:5" x14ac:dyDescent="0.2">
      <c r="A54" s="19"/>
    </row>
  </sheetData>
  <mergeCells count="11">
    <mergeCell ref="A3:B3"/>
    <mergeCell ref="A29:F29"/>
    <mergeCell ref="B41:B42"/>
    <mergeCell ref="D41:E42"/>
    <mergeCell ref="A8:F8"/>
    <mergeCell ref="A18:F18"/>
    <mergeCell ref="A28:F28"/>
    <mergeCell ref="A19:F19"/>
    <mergeCell ref="A9:F9"/>
    <mergeCell ref="A6:F6"/>
    <mergeCell ref="B21:E21"/>
  </mergeCells>
  <phoneticPr fontId="6" type="noConversion"/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7B5C5-32A6-427F-B574-C21349CD14FF}">
  <sheetPr>
    <tabColor rgb="FF92D050"/>
  </sheetPr>
  <dimension ref="A2:L9"/>
  <sheetViews>
    <sheetView workbookViewId="0">
      <selection activeCell="E23" sqref="E23"/>
    </sheetView>
  </sheetViews>
  <sheetFormatPr baseColWidth="10" defaultRowHeight="12.75" x14ac:dyDescent="0.2"/>
  <cols>
    <col min="1" max="1" width="21.28515625" customWidth="1"/>
    <col min="2" max="2" width="25.42578125" customWidth="1"/>
    <col min="3" max="3" width="21" customWidth="1"/>
    <col min="4" max="4" width="21.140625" customWidth="1"/>
    <col min="5" max="5" width="21" customWidth="1"/>
    <col min="6" max="6" width="20.42578125" customWidth="1"/>
    <col min="7" max="7" width="16.42578125" customWidth="1"/>
    <col min="8" max="8" width="24.140625" customWidth="1"/>
    <col min="9" max="9" width="22.28515625" customWidth="1"/>
    <col min="10" max="10" width="14.42578125" customWidth="1"/>
  </cols>
  <sheetData>
    <row r="2" spans="1:12" ht="26.25" customHeight="1" x14ac:dyDescent="0.2">
      <c r="A2" s="160" t="s">
        <v>82</v>
      </c>
      <c r="B2" s="161"/>
      <c r="C2" s="161"/>
      <c r="D2" s="161"/>
      <c r="E2" s="161"/>
      <c r="F2" s="161"/>
      <c r="G2" s="161"/>
      <c r="H2" s="161"/>
      <c r="I2" s="161"/>
      <c r="J2" s="162" t="s">
        <v>89</v>
      </c>
      <c r="K2" s="162"/>
      <c r="L2" s="162"/>
    </row>
    <row r="3" spans="1:12" x14ac:dyDescent="0.2">
      <c r="J3" s="162"/>
      <c r="K3" s="162"/>
      <c r="L3" s="162"/>
    </row>
    <row r="4" spans="1:12" ht="12.75" customHeight="1" x14ac:dyDescent="0.2">
      <c r="A4" s="158" t="s">
        <v>85</v>
      </c>
      <c r="B4" s="158"/>
      <c r="C4" s="158"/>
      <c r="D4" s="158"/>
      <c r="E4" s="158"/>
      <c r="F4" s="158"/>
      <c r="G4" s="158"/>
      <c r="H4" s="158"/>
      <c r="I4" s="158"/>
      <c r="J4" s="162"/>
      <c r="K4" s="162"/>
      <c r="L4" s="162"/>
    </row>
    <row r="5" spans="1:12" x14ac:dyDescent="0.2">
      <c r="A5" s="159" t="s">
        <v>68</v>
      </c>
      <c r="B5" s="159"/>
      <c r="C5" s="159"/>
      <c r="D5" s="159"/>
      <c r="E5" s="159"/>
      <c r="F5" s="159"/>
      <c r="G5" s="159"/>
      <c r="H5" s="159"/>
      <c r="I5" s="159"/>
      <c r="J5" s="162"/>
      <c r="K5" s="162"/>
      <c r="L5" s="162"/>
    </row>
    <row r="6" spans="1:12" ht="38.25" customHeight="1" x14ac:dyDescent="0.2">
      <c r="A6" s="129" t="s">
        <v>61</v>
      </c>
      <c r="B6" s="129" t="s">
        <v>62</v>
      </c>
      <c r="C6" s="130" t="s">
        <v>90</v>
      </c>
      <c r="D6" s="130" t="s">
        <v>93</v>
      </c>
      <c r="E6" s="130" t="s">
        <v>95</v>
      </c>
      <c r="F6" s="130" t="s">
        <v>94</v>
      </c>
      <c r="G6" s="129" t="s">
        <v>63</v>
      </c>
      <c r="H6" s="129" t="s">
        <v>64</v>
      </c>
      <c r="I6" s="129" t="s">
        <v>65</v>
      </c>
      <c r="J6" s="162"/>
      <c r="K6" s="162"/>
      <c r="L6" s="162"/>
    </row>
    <row r="7" spans="1:12" x14ac:dyDescent="0.2">
      <c r="A7" s="125" t="s">
        <v>35</v>
      </c>
      <c r="B7" s="125">
        <v>123456789</v>
      </c>
      <c r="C7" s="125">
        <v>54</v>
      </c>
      <c r="D7" s="125">
        <v>454</v>
      </c>
      <c r="E7" s="125">
        <v>54</v>
      </c>
      <c r="F7" s="125">
        <v>50</v>
      </c>
      <c r="G7" s="126">
        <v>45060</v>
      </c>
      <c r="H7" s="126">
        <v>45047</v>
      </c>
      <c r="I7" s="126">
        <v>46112</v>
      </c>
    </row>
    <row r="8" spans="1:12" x14ac:dyDescent="0.2">
      <c r="A8" s="125" t="s">
        <v>47</v>
      </c>
      <c r="B8" s="125">
        <v>234443232</v>
      </c>
      <c r="C8" s="125">
        <v>4</v>
      </c>
      <c r="D8" s="125">
        <v>45</v>
      </c>
      <c r="E8" s="125">
        <v>55</v>
      </c>
      <c r="F8" s="125">
        <v>54</v>
      </c>
      <c r="G8" s="126">
        <v>44805</v>
      </c>
      <c r="H8" s="126">
        <v>44835</v>
      </c>
      <c r="I8" s="126">
        <v>45930</v>
      </c>
    </row>
    <row r="9" spans="1:12" x14ac:dyDescent="0.2">
      <c r="A9" s="127" t="s">
        <v>53</v>
      </c>
      <c r="B9" s="127">
        <v>987654321</v>
      </c>
      <c r="C9" s="127">
        <v>455</v>
      </c>
      <c r="D9" s="127">
        <v>54</v>
      </c>
      <c r="E9" s="127">
        <v>50</v>
      </c>
      <c r="F9" s="127">
        <v>50</v>
      </c>
      <c r="G9" s="128">
        <v>45323</v>
      </c>
      <c r="H9" s="128">
        <v>45292</v>
      </c>
      <c r="I9" s="128">
        <v>46387</v>
      </c>
    </row>
  </sheetData>
  <mergeCells count="4">
    <mergeCell ref="A4:I4"/>
    <mergeCell ref="A5:I5"/>
    <mergeCell ref="A2:I2"/>
    <mergeCell ref="J2:L6"/>
  </mergeCells>
  <conditionalFormatting sqref="A2">
    <cfRule type="expression" dxfId="145" priority="1">
      <formula>CELL("Schutz",A2)=0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rgb="FF92D050"/>
    <pageSetUpPr fitToPage="1"/>
  </sheetPr>
  <dimension ref="A1:N138"/>
  <sheetViews>
    <sheetView zoomScaleNormal="100" workbookViewId="0">
      <selection activeCell="C35" sqref="C35"/>
    </sheetView>
  </sheetViews>
  <sheetFormatPr baseColWidth="10" defaultColWidth="11.42578125" defaultRowHeight="12.75" x14ac:dyDescent="0.2"/>
  <cols>
    <col min="1" max="2" width="23.5703125" style="1" customWidth="1"/>
    <col min="3" max="3" width="20.28515625" style="1" customWidth="1"/>
    <col min="4" max="4" width="7.5703125" style="1" customWidth="1"/>
    <col min="5" max="5" width="20.7109375" style="1" customWidth="1"/>
    <col min="6" max="6" width="20.85546875" style="1" customWidth="1"/>
    <col min="7" max="7" width="24.5703125" style="1" customWidth="1"/>
    <col min="8" max="8" width="17" style="1" customWidth="1"/>
    <col min="9" max="9" width="21" style="1" customWidth="1"/>
    <col min="10" max="10" width="17.7109375" style="1" customWidth="1"/>
    <col min="11" max="11" width="15.7109375" style="1" customWidth="1"/>
    <col min="12" max="12" width="30.140625" style="1" customWidth="1"/>
    <col min="13" max="13" width="6" style="1" customWidth="1"/>
    <col min="14" max="14" width="23.85546875" style="1" customWidth="1"/>
    <col min="15" max="15" width="23.7109375" style="1" customWidth="1"/>
    <col min="16" max="16384" width="11.42578125" style="1"/>
  </cols>
  <sheetData>
    <row r="1" spans="1:14" x14ac:dyDescent="0.2">
      <c r="A1" s="163"/>
      <c r="B1" s="163"/>
      <c r="C1" s="163"/>
      <c r="D1" s="163"/>
      <c r="E1" s="163"/>
      <c r="F1" s="17"/>
    </row>
    <row r="2" spans="1:14" x14ac:dyDescent="0.2">
      <c r="A2" s="164" t="s">
        <v>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1:14" x14ac:dyDescent="0.2">
      <c r="A3" s="17"/>
      <c r="B3" s="36"/>
      <c r="C3" s="17"/>
      <c r="D3" s="72"/>
      <c r="E3" s="17"/>
      <c r="F3" s="17"/>
    </row>
    <row r="4" spans="1:14" s="32" customFormat="1" ht="83.25" customHeight="1" x14ac:dyDescent="0.2">
      <c r="A4" s="37" t="s">
        <v>24</v>
      </c>
      <c r="B4" s="37" t="s">
        <v>36</v>
      </c>
      <c r="C4" s="37" t="s">
        <v>37</v>
      </c>
      <c r="D4" s="37" t="s">
        <v>57</v>
      </c>
      <c r="E4" s="37" t="s">
        <v>29</v>
      </c>
      <c r="F4" s="37" t="s">
        <v>30</v>
      </c>
      <c r="G4" s="38" t="s">
        <v>9</v>
      </c>
      <c r="H4" s="38" t="s">
        <v>10</v>
      </c>
      <c r="I4" s="38" t="s">
        <v>11</v>
      </c>
      <c r="J4" s="38" t="s">
        <v>12</v>
      </c>
      <c r="K4" s="38" t="s">
        <v>13</v>
      </c>
      <c r="L4" s="38" t="s">
        <v>14</v>
      </c>
      <c r="M4" s="166" t="s">
        <v>88</v>
      </c>
      <c r="N4" s="167"/>
    </row>
    <row r="5" spans="1:14" x14ac:dyDescent="0.2">
      <c r="A5" s="39" t="s">
        <v>35</v>
      </c>
      <c r="B5" s="39">
        <v>123456789</v>
      </c>
      <c r="C5" s="40">
        <v>45505</v>
      </c>
      <c r="D5" s="74">
        <f>IF(Tabelle2[[#This Row],[Abrechnungszeitraum Beginn]]&gt;0,ROUNDUP(MONTH(Tabelle2[[#This Row],[Abrechnungszeitraum Beginn]])/3,0),"0")</f>
        <v>2</v>
      </c>
      <c r="E5" s="40">
        <v>45383</v>
      </c>
      <c r="F5" s="40">
        <v>45473</v>
      </c>
      <c r="G5" s="39">
        <v>1564645</v>
      </c>
      <c r="H5" s="75">
        <v>687</v>
      </c>
      <c r="I5" s="41">
        <v>256</v>
      </c>
      <c r="J5" s="41">
        <v>324</v>
      </c>
      <c r="K5" s="41">
        <v>36</v>
      </c>
      <c r="L5" s="42">
        <f>Tabelle2[[#This Row],[Abgerechnete Leistungskomplexpunkte]]*0.00254+Tabelle2[[#This Row],[Abgerechnete Zeitstunden]]*1.51+Tabelle2[[#This Row],[Hausbesuche für Einsätze bei einzelnen Pflegebedürftigen, nur Leistungen nach SGB XI]]*0.00254*100+Tabelle2[[#This Row],[Hausbesuche für Einsätze bei einzelnen Pflegebedürftigen, Leistungen nach SGB XI u. SGB V]]*0.00254*50+Tabelle2[[#This Row],[Hausbesuche für mehrere Pflegeeinsätze mit einmaliger Anfahrt, je Einsatz]]*0.00254*25</f>
        <v>5120.0263000000014</v>
      </c>
      <c r="N5" s="46"/>
    </row>
    <row r="6" spans="1:14" x14ac:dyDescent="0.2">
      <c r="A6" s="5" t="s">
        <v>47</v>
      </c>
      <c r="B6" s="5">
        <v>234443232</v>
      </c>
      <c r="C6" s="6">
        <v>45334</v>
      </c>
      <c r="D6" s="74">
        <f>IF(Tabelle2[[#This Row],[Abrechnungszeitraum Beginn]]&gt;0,ROUNDUP(MONTH(Tabelle2[[#This Row],[Abrechnungszeitraum Beginn]])/3,0),"0")</f>
        <v>4</v>
      </c>
      <c r="E6" s="6">
        <v>45200</v>
      </c>
      <c r="F6" s="6">
        <v>45291</v>
      </c>
      <c r="G6" s="5">
        <v>6405541</v>
      </c>
      <c r="H6" s="76">
        <v>895</v>
      </c>
      <c r="I6" s="1">
        <v>1546</v>
      </c>
      <c r="J6" s="1">
        <v>264</v>
      </c>
      <c r="K6" s="1">
        <v>541</v>
      </c>
      <c r="L6" s="42">
        <f>Tabelle2[[#This Row],[Abgerechnete Leistungskomplexpunkte]]*0.00254+Tabelle2[[#This Row],[Abgerechnete Zeitstunden]]*1.51+Tabelle2[[#This Row],[Hausbesuche für Einsätze bei einzelnen Pflegebedürftigen, nur Leistungen nach SGB XI]]*0.00254*100+Tabelle2[[#This Row],[Hausbesuche für Einsätze bei einzelnen Pflegebedürftigen, Leistungen nach SGB XI u. SGB V]]*0.00254*50+Tabelle2[[#This Row],[Hausbesuche für mehrere Pflegeeinsätze mit einmaliger Anfahrt, je Einsatz]]*0.00254*25</f>
        <v>18082.089640000002</v>
      </c>
    </row>
    <row r="7" spans="1:14" x14ac:dyDescent="0.2">
      <c r="A7" s="5" t="s">
        <v>35</v>
      </c>
      <c r="B7" s="5">
        <v>123456789</v>
      </c>
      <c r="C7" s="6">
        <v>45426</v>
      </c>
      <c r="D7" s="74">
        <f>IF(Tabelle2[[#This Row],[Abrechnungszeitraum Beginn]]&gt;0,ROUNDUP(MONTH(Tabelle2[[#This Row],[Abrechnungszeitraum Beginn]])/3,0),"0")</f>
        <v>1</v>
      </c>
      <c r="E7" s="6">
        <v>45292</v>
      </c>
      <c r="F7" s="6">
        <v>45382</v>
      </c>
      <c r="G7" s="5">
        <v>4686781</v>
      </c>
      <c r="H7" s="76">
        <v>723</v>
      </c>
      <c r="I7" s="1">
        <v>264</v>
      </c>
      <c r="J7" s="1">
        <v>68</v>
      </c>
      <c r="K7" s="1">
        <v>64</v>
      </c>
      <c r="L7" s="42">
        <f>Tabelle2[[#This Row],[Abgerechnete Leistungskomplexpunkte]]*0.00254+Tabelle2[[#This Row],[Abgerechnete Zeitstunden]]*1.51+Tabelle2[[#This Row],[Hausbesuche für Einsätze bei einzelnen Pflegebedürftigen, nur Leistungen nach SGB XI]]*0.00254*100+Tabelle2[[#This Row],[Hausbesuche für Einsätze bei einzelnen Pflegebedürftigen, Leistungen nach SGB XI u. SGB V]]*0.00254*50+Tabelle2[[#This Row],[Hausbesuche für mehrere Pflegeeinsätze mit einmaliger Anfahrt, je Einsatz]]*0.00254*25</f>
        <v>13075.909740000001</v>
      </c>
      <c r="N7" s="46"/>
    </row>
    <row r="8" spans="1:14" x14ac:dyDescent="0.2">
      <c r="A8" s="5" t="s">
        <v>47</v>
      </c>
      <c r="B8" s="5">
        <v>234443232</v>
      </c>
      <c r="C8" s="6">
        <v>45597</v>
      </c>
      <c r="D8" s="74">
        <f>IF(Tabelle2[[#This Row],[Abrechnungszeitraum Beginn]]&gt;0,ROUNDUP(MONTH(Tabelle2[[#This Row],[Abrechnungszeitraum Beginn]])/3,0),"0")</f>
        <v>3</v>
      </c>
      <c r="E8" s="6">
        <v>45474</v>
      </c>
      <c r="F8" s="5" t="s">
        <v>54</v>
      </c>
      <c r="G8" s="5">
        <v>6544984</v>
      </c>
      <c r="H8" s="76">
        <v>250</v>
      </c>
      <c r="I8" s="1">
        <v>246</v>
      </c>
      <c r="J8" s="1">
        <v>156</v>
      </c>
      <c r="K8" s="1">
        <v>164</v>
      </c>
      <c r="L8" s="42">
        <f>Tabelle2[[#This Row],[Abgerechnete Leistungskomplexpunkte]]*0.00254+Tabelle2[[#This Row],[Abgerechnete Zeitstunden]]*1.51+Tabelle2[[#This Row],[Hausbesuche für Einsätze bei einzelnen Pflegebedürftigen, nur Leistungen nach SGB XI]]*0.00254*100+Tabelle2[[#This Row],[Hausbesuche für Einsätze bei einzelnen Pflegebedürftigen, Leistungen nach SGB XI u. SGB V]]*0.00254*50+Tabelle2[[#This Row],[Hausbesuche für mehrere Pflegeeinsätze mit einmaliger Anfahrt, je Einsatz]]*0.00254*25</f>
        <v>17094.469360000003</v>
      </c>
      <c r="N8" s="46"/>
    </row>
    <row r="9" spans="1:14" x14ac:dyDescent="0.2">
      <c r="A9" s="5" t="s">
        <v>53</v>
      </c>
      <c r="B9" s="5">
        <v>987654321</v>
      </c>
      <c r="C9" s="6">
        <v>45611</v>
      </c>
      <c r="D9" s="74">
        <f>IF(Tabelle2[[#This Row],[Abrechnungszeitraum Beginn]]&gt;0,ROUNDUP(MONTH(Tabelle2[[#This Row],[Abrechnungszeitraum Beginn]])/3,0),"0")</f>
        <v>3</v>
      </c>
      <c r="E9" s="6">
        <v>45474</v>
      </c>
      <c r="F9" s="6">
        <v>45565</v>
      </c>
      <c r="G9" s="5">
        <v>6541324</v>
      </c>
      <c r="H9" s="76">
        <v>3541</v>
      </c>
      <c r="I9" s="1">
        <v>464</v>
      </c>
      <c r="J9" s="1">
        <v>164</v>
      </c>
      <c r="K9" s="1">
        <v>316</v>
      </c>
      <c r="L9" s="42">
        <f>Tabelle2[[#This Row],[Abgerechnete Leistungskomplexpunkte]]*0.00254+Tabelle2[[#This Row],[Abgerechnete Zeitstunden]]*1.51+Tabelle2[[#This Row],[Hausbesuche für Einsätze bei einzelnen Pflegebedürftigen, nur Leistungen nach SGB XI]]*0.00254*100+Tabelle2[[#This Row],[Hausbesuche für Einsätze bei einzelnen Pflegebedürftigen, Leistungen nach SGB XI u. SGB V]]*0.00254*50+Tabelle2[[#This Row],[Hausbesuche für mehrere Pflegeeinsätze mit einmaliger Anfahrt, je Einsatz]]*0.00254*25</f>
        <v>22120.622960000001</v>
      </c>
      <c r="N9" s="46"/>
    </row>
    <row r="10" spans="1:14" x14ac:dyDescent="0.2">
      <c r="A10" s="5" t="s">
        <v>60</v>
      </c>
      <c r="B10" s="5">
        <v>555556666</v>
      </c>
      <c r="C10" s="6">
        <v>45397</v>
      </c>
      <c r="D10" s="94">
        <f>IF(Tabelle2[[#This Row],[Abrechnungszeitraum Beginn]]&gt;0,ROUNDUP(MONTH(Tabelle2[[#This Row],[Abrechnungszeitraum Beginn]])/3,0),"0")</f>
        <v>1</v>
      </c>
      <c r="E10" s="6">
        <v>45292</v>
      </c>
      <c r="F10" s="6">
        <v>45382</v>
      </c>
      <c r="G10" s="5">
        <v>3546464</v>
      </c>
      <c r="H10" s="76">
        <v>324</v>
      </c>
      <c r="I10" s="1">
        <v>315</v>
      </c>
      <c r="J10" s="1">
        <v>464</v>
      </c>
      <c r="K10" s="1">
        <v>654</v>
      </c>
      <c r="L10" s="42">
        <f>Tabelle2[[#This Row],[Abgerechnete Leistungskomplexpunkte]]*0.00254+Tabelle2[[#This Row],[Abgerechnete Zeitstunden]]*1.51+Tabelle2[[#This Row],[Hausbesuche für Einsätze bei einzelnen Pflegebedürftigen, nur Leistungen nach SGB XI]]*0.00254*100+Tabelle2[[#This Row],[Hausbesuche für Einsätze bei einzelnen Pflegebedürftigen, Leistungen nach SGB XI u. SGB V]]*0.00254*50+Tabelle2[[#This Row],[Hausbesuche für mehrere Pflegeeinsätze mit einmaliger Anfahrt, je Einsatz]]*0.00254*25</f>
        <v>9677.7255600000008</v>
      </c>
    </row>
    <row r="11" spans="1:14" x14ac:dyDescent="0.2">
      <c r="A11" s="5" t="s">
        <v>60</v>
      </c>
      <c r="B11" s="5">
        <v>555556666</v>
      </c>
      <c r="C11" s="6">
        <v>45489</v>
      </c>
      <c r="D11" s="94">
        <f>IF(Tabelle2[[#This Row],[Abrechnungszeitraum Beginn]]&gt;0,ROUNDUP(MONTH(Tabelle2[[#This Row],[Abrechnungszeitraum Beginn]])/3,0),"0")</f>
        <v>2</v>
      </c>
      <c r="E11" s="6">
        <v>45383</v>
      </c>
      <c r="F11" s="6">
        <v>45473</v>
      </c>
      <c r="G11" s="5">
        <v>3697974</v>
      </c>
      <c r="H11" s="76">
        <v>354</v>
      </c>
      <c r="I11" s="1">
        <v>345</v>
      </c>
      <c r="J11" s="1">
        <v>465</v>
      </c>
      <c r="K11" s="1">
        <v>546</v>
      </c>
      <c r="L11" s="42">
        <f>Tabelle2[[#This Row],[Abgerechnete Leistungskomplexpunkte]]*0.00254+Tabelle2[[#This Row],[Abgerechnete Zeitstunden]]*1.51+Tabelle2[[#This Row],[Hausbesuche für Einsätze bei einzelnen Pflegebedürftigen, nur Leistungen nach SGB XI]]*0.00254*100+Tabelle2[[#This Row],[Hausbesuche für Einsätze bei einzelnen Pflegebedürftigen, Leistungen nach SGB XI u. SGB V]]*0.00254*50+Tabelle2[[#This Row],[Hausbesuche für mehrere Pflegeeinsätze mit einmaliger Anfahrt, je Einsatz]]*0.00254*25</f>
        <v>10108.749960000001</v>
      </c>
    </row>
    <row r="12" spans="1:14" x14ac:dyDescent="0.2">
      <c r="A12" s="5" t="s">
        <v>60</v>
      </c>
      <c r="B12" s="5">
        <v>555556666</v>
      </c>
      <c r="C12" s="6">
        <v>45582</v>
      </c>
      <c r="D12" s="94">
        <f>IF(Tabelle2[[#This Row],[Abrechnungszeitraum Beginn]]&gt;0,ROUNDUP(MONTH(Tabelle2[[#This Row],[Abrechnungszeitraum Beginn]])/3,0),"0")</f>
        <v>3</v>
      </c>
      <c r="E12" s="6">
        <v>45474</v>
      </c>
      <c r="F12" s="6">
        <v>45565</v>
      </c>
      <c r="G12" s="5">
        <v>3687451</v>
      </c>
      <c r="H12" s="76">
        <v>465</v>
      </c>
      <c r="I12" s="1">
        <v>365</v>
      </c>
      <c r="J12" s="1">
        <v>465</v>
      </c>
      <c r="K12" s="1">
        <v>566</v>
      </c>
      <c r="L12" s="42">
        <f>Tabelle2[[#This Row],[Abgerechnete Leistungskomplexpunkte]]*0.00254+Tabelle2[[#This Row],[Abgerechnete Zeitstunden]]*1.51+Tabelle2[[#This Row],[Hausbesuche für Einsätze bei einzelnen Pflegebedürftigen, nur Leistungen nach SGB XI]]*0.00254*100+Tabelle2[[#This Row],[Hausbesuche für Einsätze bei einzelnen Pflegebedürftigen, Leistungen nach SGB XI u. SGB V]]*0.00254*50+Tabelle2[[#This Row],[Hausbesuche für mehrere Pflegeeinsätze mit einmaliger Anfahrt, je Einsatz]]*0.00254*25</f>
        <v>10255.981540000001</v>
      </c>
    </row>
    <row r="13" spans="1:14" x14ac:dyDescent="0.2">
      <c r="A13" s="15"/>
      <c r="B13" s="15"/>
      <c r="C13" s="5"/>
      <c r="D13" s="5"/>
      <c r="E13" s="5"/>
      <c r="F13" s="5"/>
      <c r="G13" s="5"/>
      <c r="H13" s="7"/>
    </row>
    <row r="14" spans="1:14" x14ac:dyDescent="0.2">
      <c r="A14" s="15"/>
      <c r="B14" s="15"/>
      <c r="C14" s="5"/>
      <c r="D14" s="5"/>
      <c r="E14" s="5"/>
      <c r="F14" s="5"/>
      <c r="G14" s="5"/>
      <c r="H14" s="7"/>
    </row>
    <row r="15" spans="1:14" x14ac:dyDescent="0.2">
      <c r="A15" s="5"/>
      <c r="B15" s="5"/>
      <c r="C15" s="5"/>
      <c r="D15" s="5"/>
      <c r="E15" s="5"/>
      <c r="F15" s="5"/>
      <c r="G15" s="5"/>
      <c r="H15" s="7"/>
    </row>
    <row r="16" spans="1:14" x14ac:dyDescent="0.2">
      <c r="A16" s="15"/>
      <c r="B16" s="15"/>
      <c r="C16" s="5"/>
      <c r="D16" s="5"/>
      <c r="E16" s="5"/>
      <c r="F16" s="5"/>
      <c r="G16" s="5"/>
      <c r="H16" s="7"/>
    </row>
    <row r="17" spans="1:8" x14ac:dyDescent="0.2">
      <c r="A17" s="5"/>
      <c r="B17" s="5"/>
      <c r="C17" s="5"/>
      <c r="D17" s="5"/>
      <c r="E17" s="5"/>
      <c r="F17" s="5"/>
      <c r="G17" s="5"/>
      <c r="H17" s="7"/>
    </row>
    <row r="31" spans="1:8" x14ac:dyDescent="0.2">
      <c r="A31" s="5"/>
      <c r="B31" s="5"/>
      <c r="C31" s="5"/>
      <c r="D31" s="5"/>
      <c r="E31" s="5"/>
      <c r="F31" s="5"/>
      <c r="G31" s="5"/>
      <c r="H31" s="7"/>
    </row>
    <row r="33" spans="1:8" x14ac:dyDescent="0.2">
      <c r="A33" s="5"/>
      <c r="B33" s="5"/>
      <c r="C33" s="5"/>
      <c r="D33" s="5"/>
      <c r="E33" s="5"/>
      <c r="F33" s="5"/>
      <c r="G33" s="5"/>
      <c r="H33" s="7"/>
    </row>
    <row r="34" spans="1:8" x14ac:dyDescent="0.2">
      <c r="A34" s="5"/>
      <c r="B34" s="5"/>
      <c r="C34" s="5"/>
      <c r="D34" s="5"/>
      <c r="E34" s="5"/>
      <c r="F34" s="5"/>
      <c r="G34" s="5"/>
      <c r="H34" s="7"/>
    </row>
    <row r="35" spans="1:8" x14ac:dyDescent="0.2">
      <c r="A35" s="5"/>
      <c r="B35" s="5"/>
      <c r="C35" s="5"/>
      <c r="D35" s="5"/>
      <c r="E35" s="5"/>
      <c r="F35" s="5"/>
      <c r="G35" s="5"/>
      <c r="H35" s="7"/>
    </row>
    <row r="36" spans="1:8" x14ac:dyDescent="0.2">
      <c r="A36" s="5"/>
      <c r="B36" s="5"/>
      <c r="C36" s="5"/>
      <c r="D36" s="5"/>
      <c r="E36" s="5"/>
      <c r="F36" s="5"/>
      <c r="G36" s="5"/>
      <c r="H36" s="7"/>
    </row>
    <row r="37" spans="1:8" x14ac:dyDescent="0.2">
      <c r="A37" s="5"/>
      <c r="B37" s="5"/>
      <c r="C37" s="5"/>
      <c r="D37" s="5"/>
      <c r="E37" s="5"/>
      <c r="F37" s="5"/>
      <c r="G37" s="5"/>
      <c r="H37" s="7"/>
    </row>
    <row r="38" spans="1:8" x14ac:dyDescent="0.2">
      <c r="A38" s="5"/>
      <c r="B38" s="5"/>
      <c r="C38" s="5"/>
      <c r="D38" s="5"/>
      <c r="E38" s="5"/>
      <c r="F38" s="5"/>
      <c r="G38" s="5"/>
      <c r="H38" s="7"/>
    </row>
    <row r="39" spans="1:8" x14ac:dyDescent="0.2">
      <c r="A39" s="5"/>
      <c r="B39" s="5"/>
      <c r="C39" s="5"/>
      <c r="D39" s="5"/>
      <c r="E39" s="5"/>
      <c r="F39" s="5"/>
      <c r="G39" s="5"/>
      <c r="H39" s="7"/>
    </row>
    <row r="40" spans="1:8" x14ac:dyDescent="0.2">
      <c r="A40" s="5"/>
      <c r="B40" s="5"/>
      <c r="C40" s="5"/>
      <c r="D40" s="5"/>
      <c r="E40" s="5"/>
      <c r="F40" s="5"/>
      <c r="G40" s="5"/>
      <c r="H40" s="7"/>
    </row>
    <row r="41" spans="1:8" x14ac:dyDescent="0.2">
      <c r="A41" s="5"/>
      <c r="B41" s="5"/>
      <c r="C41" s="5"/>
      <c r="D41" s="5"/>
      <c r="E41" s="5"/>
      <c r="F41" s="5"/>
      <c r="G41" s="5"/>
      <c r="H41" s="7"/>
    </row>
    <row r="42" spans="1:8" x14ac:dyDescent="0.2">
      <c r="A42" s="5"/>
      <c r="B42" s="5"/>
      <c r="C42" s="5"/>
      <c r="D42" s="5"/>
      <c r="E42" s="5"/>
      <c r="F42" s="5"/>
      <c r="G42" s="5"/>
      <c r="H42" s="7"/>
    </row>
    <row r="43" spans="1:8" x14ac:dyDescent="0.2">
      <c r="A43" s="5"/>
      <c r="B43" s="5"/>
      <c r="C43" s="5"/>
      <c r="D43" s="5"/>
      <c r="E43" s="5"/>
      <c r="F43" s="5"/>
      <c r="G43" s="5"/>
      <c r="H43" s="7"/>
    </row>
    <row r="44" spans="1:8" x14ac:dyDescent="0.2">
      <c r="A44" s="5"/>
      <c r="B44" s="5"/>
      <c r="C44" s="5"/>
      <c r="D44" s="5"/>
      <c r="E44" s="5"/>
      <c r="F44" s="5"/>
      <c r="G44" s="5"/>
      <c r="H44" s="7"/>
    </row>
    <row r="45" spans="1:8" x14ac:dyDescent="0.2">
      <c r="A45" s="5"/>
      <c r="B45" s="5"/>
      <c r="C45" s="5"/>
      <c r="D45" s="5"/>
      <c r="E45" s="5"/>
      <c r="F45" s="5"/>
      <c r="G45" s="5"/>
      <c r="H45" s="7"/>
    </row>
    <row r="46" spans="1:8" x14ac:dyDescent="0.2">
      <c r="A46" s="5"/>
      <c r="B46" s="5"/>
      <c r="C46" s="5"/>
      <c r="D46" s="5"/>
      <c r="E46" s="5"/>
      <c r="F46" s="5"/>
      <c r="G46" s="5"/>
      <c r="H46" s="7"/>
    </row>
    <row r="47" spans="1:8" x14ac:dyDescent="0.2">
      <c r="A47" s="5"/>
      <c r="B47" s="5"/>
      <c r="C47" s="5"/>
      <c r="D47" s="5"/>
      <c r="E47" s="5"/>
      <c r="F47" s="5"/>
      <c r="G47" s="5"/>
      <c r="H47" s="7"/>
    </row>
    <row r="48" spans="1:8" x14ac:dyDescent="0.2">
      <c r="A48" s="5"/>
      <c r="B48" s="5"/>
      <c r="C48" s="5"/>
      <c r="D48" s="5"/>
      <c r="E48" s="5"/>
      <c r="F48" s="5"/>
      <c r="G48" s="5"/>
      <c r="H48" s="7"/>
    </row>
    <row r="49" spans="1:8" x14ac:dyDescent="0.2">
      <c r="A49" s="5"/>
      <c r="B49" s="5"/>
      <c r="C49" s="5"/>
      <c r="D49" s="5"/>
      <c r="E49" s="5"/>
      <c r="F49" s="5"/>
      <c r="G49" s="5"/>
      <c r="H49" s="7"/>
    </row>
    <row r="50" spans="1:8" x14ac:dyDescent="0.2">
      <c r="A50" s="5"/>
      <c r="B50" s="5"/>
      <c r="C50" s="5"/>
      <c r="D50" s="5"/>
      <c r="E50" s="5"/>
      <c r="F50" s="5"/>
      <c r="G50" s="5"/>
      <c r="H50" s="7"/>
    </row>
    <row r="51" spans="1:8" x14ac:dyDescent="0.2">
      <c r="A51" s="5"/>
      <c r="B51" s="5"/>
      <c r="C51" s="5"/>
      <c r="D51" s="5"/>
      <c r="E51" s="5"/>
      <c r="F51" s="5"/>
      <c r="G51" s="5"/>
      <c r="H51" s="7"/>
    </row>
    <row r="52" spans="1:8" x14ac:dyDescent="0.2">
      <c r="A52" s="5"/>
      <c r="B52" s="5"/>
      <c r="C52" s="5"/>
      <c r="D52" s="5"/>
      <c r="E52" s="5"/>
      <c r="F52" s="5"/>
      <c r="G52" s="5"/>
      <c r="H52" s="7"/>
    </row>
    <row r="53" spans="1:8" x14ac:dyDescent="0.2">
      <c r="A53" s="5"/>
      <c r="B53" s="5"/>
      <c r="C53" s="5"/>
      <c r="D53" s="5"/>
      <c r="E53" s="5"/>
      <c r="F53" s="5"/>
      <c r="G53" s="5"/>
      <c r="H53" s="7"/>
    </row>
    <row r="54" spans="1:8" x14ac:dyDescent="0.2">
      <c r="A54" s="5"/>
      <c r="B54" s="5"/>
      <c r="C54" s="5"/>
      <c r="D54" s="5"/>
      <c r="E54" s="5"/>
      <c r="F54" s="5"/>
      <c r="G54" s="5"/>
      <c r="H54" s="7"/>
    </row>
    <row r="55" spans="1:8" x14ac:dyDescent="0.2">
      <c r="A55" s="5"/>
      <c r="B55" s="5"/>
      <c r="C55" s="5"/>
      <c r="D55" s="5"/>
      <c r="E55" s="5"/>
      <c r="F55" s="5"/>
      <c r="G55" s="5"/>
      <c r="H55" s="7"/>
    </row>
    <row r="56" spans="1:8" x14ac:dyDescent="0.2">
      <c r="A56" s="5"/>
      <c r="B56" s="5"/>
      <c r="C56" s="5"/>
      <c r="D56" s="5"/>
      <c r="E56" s="5"/>
      <c r="F56" s="5"/>
      <c r="G56" s="5"/>
      <c r="H56" s="7"/>
    </row>
    <row r="57" spans="1:8" x14ac:dyDescent="0.2">
      <c r="A57" s="5"/>
      <c r="B57" s="5"/>
      <c r="C57" s="5"/>
      <c r="D57" s="5"/>
      <c r="E57" s="5"/>
      <c r="F57" s="5"/>
      <c r="G57" s="5"/>
      <c r="H57" s="7"/>
    </row>
    <row r="58" spans="1:8" x14ac:dyDescent="0.2">
      <c r="A58" s="5"/>
      <c r="B58" s="5"/>
      <c r="C58" s="5"/>
      <c r="D58" s="5"/>
      <c r="E58" s="5"/>
      <c r="F58" s="5"/>
      <c r="G58" s="5"/>
      <c r="H58" s="7"/>
    </row>
    <row r="59" spans="1:8" x14ac:dyDescent="0.2">
      <c r="A59" s="5"/>
      <c r="B59" s="5"/>
      <c r="C59" s="5"/>
      <c r="D59" s="5"/>
      <c r="E59" s="5"/>
      <c r="F59" s="5"/>
      <c r="G59" s="5"/>
      <c r="H59" s="7"/>
    </row>
    <row r="60" spans="1:8" x14ac:dyDescent="0.2">
      <c r="A60" s="5"/>
      <c r="B60" s="5"/>
      <c r="C60" s="5"/>
      <c r="D60" s="5"/>
      <c r="E60" s="5"/>
      <c r="F60" s="5"/>
      <c r="G60" s="5"/>
      <c r="H60" s="7"/>
    </row>
    <row r="61" spans="1:8" x14ac:dyDescent="0.2">
      <c r="A61" s="5"/>
      <c r="B61" s="5"/>
      <c r="C61" s="5"/>
      <c r="D61" s="5"/>
      <c r="E61" s="5"/>
      <c r="F61" s="5"/>
      <c r="G61" s="5"/>
      <c r="H61" s="7"/>
    </row>
    <row r="62" spans="1:8" x14ac:dyDescent="0.2">
      <c r="A62" s="5"/>
      <c r="B62" s="5"/>
      <c r="C62" s="5"/>
      <c r="D62" s="5"/>
      <c r="E62" s="5"/>
      <c r="F62" s="5"/>
      <c r="G62" s="5"/>
      <c r="H62" s="7"/>
    </row>
    <row r="63" spans="1:8" x14ac:dyDescent="0.2">
      <c r="A63" s="5"/>
      <c r="B63" s="5"/>
      <c r="C63" s="5"/>
      <c r="D63" s="5"/>
      <c r="E63" s="5"/>
      <c r="F63" s="5"/>
      <c r="G63" s="5"/>
      <c r="H63" s="7"/>
    </row>
    <row r="64" spans="1:8" x14ac:dyDescent="0.2">
      <c r="A64" s="5"/>
      <c r="B64" s="5"/>
      <c r="C64" s="5"/>
      <c r="D64" s="5"/>
      <c r="E64" s="5"/>
      <c r="F64" s="5"/>
      <c r="G64" s="5"/>
      <c r="H64" s="7"/>
    </row>
    <row r="65" spans="1:8" x14ac:dyDescent="0.2">
      <c r="A65" s="5"/>
      <c r="B65" s="5"/>
      <c r="C65" s="5"/>
      <c r="D65" s="5"/>
      <c r="E65" s="5"/>
      <c r="F65" s="5"/>
      <c r="G65" s="5"/>
      <c r="H65" s="7"/>
    </row>
    <row r="66" spans="1:8" x14ac:dyDescent="0.2">
      <c r="A66" s="5"/>
      <c r="B66" s="5"/>
      <c r="C66" s="5"/>
      <c r="D66" s="5"/>
      <c r="E66" s="5"/>
      <c r="F66" s="5"/>
      <c r="G66" s="5"/>
      <c r="H66" s="7"/>
    </row>
    <row r="67" spans="1:8" x14ac:dyDescent="0.2">
      <c r="A67" s="5"/>
      <c r="B67" s="5"/>
      <c r="C67" s="5"/>
      <c r="D67" s="5"/>
      <c r="E67" s="5"/>
      <c r="F67" s="5"/>
      <c r="G67" s="5"/>
      <c r="H67" s="7"/>
    </row>
    <row r="68" spans="1:8" x14ac:dyDescent="0.2">
      <c r="A68" s="5"/>
      <c r="B68" s="5"/>
      <c r="C68" s="5"/>
      <c r="D68" s="5"/>
      <c r="E68" s="5"/>
      <c r="F68" s="5"/>
      <c r="G68" s="5"/>
      <c r="H68" s="7"/>
    </row>
    <row r="69" spans="1:8" x14ac:dyDescent="0.2">
      <c r="A69" s="5"/>
      <c r="B69" s="5"/>
      <c r="C69" s="5"/>
      <c r="D69" s="5"/>
      <c r="E69" s="5"/>
      <c r="F69" s="5"/>
      <c r="G69" s="5"/>
      <c r="H69" s="7"/>
    </row>
    <row r="70" spans="1:8" x14ac:dyDescent="0.2">
      <c r="A70" s="5"/>
      <c r="B70" s="5"/>
      <c r="C70" s="5"/>
      <c r="D70" s="5"/>
      <c r="E70" s="5"/>
      <c r="F70" s="5"/>
      <c r="G70" s="5"/>
      <c r="H70" s="7"/>
    </row>
    <row r="71" spans="1:8" x14ac:dyDescent="0.2">
      <c r="A71" s="5"/>
      <c r="B71" s="5"/>
      <c r="C71" s="5"/>
      <c r="D71" s="5"/>
      <c r="E71" s="5"/>
      <c r="F71" s="5"/>
      <c r="G71" s="5"/>
      <c r="H71" s="7"/>
    </row>
    <row r="72" spans="1:8" x14ac:dyDescent="0.2">
      <c r="A72" s="5"/>
      <c r="B72" s="5"/>
      <c r="C72" s="5"/>
      <c r="D72" s="5"/>
      <c r="E72" s="5"/>
      <c r="F72" s="5"/>
      <c r="G72" s="5"/>
      <c r="H72" s="7"/>
    </row>
    <row r="73" spans="1:8" x14ac:dyDescent="0.2">
      <c r="A73" s="5"/>
      <c r="B73" s="5"/>
      <c r="C73" s="5"/>
      <c r="D73" s="5"/>
      <c r="E73" s="5"/>
      <c r="F73" s="5"/>
      <c r="G73" s="5"/>
      <c r="H73" s="7"/>
    </row>
    <row r="74" spans="1:8" x14ac:dyDescent="0.2">
      <c r="A74" s="5"/>
      <c r="B74" s="5"/>
      <c r="C74" s="5"/>
      <c r="D74" s="5"/>
      <c r="E74" s="5"/>
      <c r="F74" s="5"/>
      <c r="G74" s="5"/>
      <c r="H74" s="7"/>
    </row>
    <row r="75" spans="1:8" x14ac:dyDescent="0.2">
      <c r="A75" s="5"/>
      <c r="B75" s="5"/>
      <c r="C75" s="5"/>
      <c r="D75" s="5"/>
      <c r="E75" s="5"/>
      <c r="F75" s="5"/>
      <c r="G75" s="5"/>
      <c r="H75" s="7"/>
    </row>
    <row r="76" spans="1:8" x14ac:dyDescent="0.2">
      <c r="A76" s="5"/>
      <c r="B76" s="5"/>
      <c r="C76" s="5"/>
      <c r="D76" s="5"/>
      <c r="E76" s="5"/>
      <c r="F76" s="5"/>
      <c r="G76" s="5"/>
      <c r="H76" s="7"/>
    </row>
    <row r="77" spans="1:8" x14ac:dyDescent="0.2">
      <c r="A77" s="5"/>
      <c r="B77" s="5"/>
      <c r="C77" s="5"/>
      <c r="D77" s="5"/>
      <c r="E77" s="5"/>
      <c r="F77" s="5"/>
      <c r="G77" s="5"/>
      <c r="H77" s="7"/>
    </row>
    <row r="78" spans="1:8" x14ac:dyDescent="0.2">
      <c r="A78" s="5"/>
      <c r="B78" s="5"/>
      <c r="C78" s="5"/>
      <c r="D78" s="5"/>
      <c r="E78" s="5"/>
      <c r="F78" s="5"/>
      <c r="G78" s="5"/>
      <c r="H78" s="7"/>
    </row>
    <row r="79" spans="1:8" x14ac:dyDescent="0.2">
      <c r="A79" s="5"/>
      <c r="B79" s="5"/>
      <c r="C79" s="5"/>
      <c r="D79" s="5"/>
      <c r="E79" s="5"/>
      <c r="F79" s="5"/>
      <c r="G79" s="5"/>
      <c r="H79" s="7"/>
    </row>
    <row r="80" spans="1:8" x14ac:dyDescent="0.2">
      <c r="A80" s="5"/>
      <c r="B80" s="5"/>
      <c r="C80" s="5"/>
      <c r="D80" s="5"/>
      <c r="E80" s="5"/>
      <c r="F80" s="5"/>
      <c r="G80" s="5"/>
      <c r="H80" s="7"/>
    </row>
    <row r="81" spans="1:8" x14ac:dyDescent="0.2">
      <c r="A81" s="5"/>
      <c r="B81" s="5"/>
      <c r="C81" s="5"/>
      <c r="D81" s="5"/>
      <c r="E81" s="5"/>
      <c r="F81" s="5"/>
      <c r="G81" s="5"/>
      <c r="H81" s="7"/>
    </row>
    <row r="82" spans="1:8" x14ac:dyDescent="0.2">
      <c r="A82" s="5"/>
      <c r="B82" s="5"/>
      <c r="C82" s="5"/>
      <c r="D82" s="5"/>
      <c r="E82" s="5"/>
      <c r="F82" s="5"/>
      <c r="G82" s="5"/>
      <c r="H82" s="7"/>
    </row>
    <row r="83" spans="1:8" x14ac:dyDescent="0.2">
      <c r="A83" s="5"/>
      <c r="B83" s="5"/>
      <c r="C83" s="5"/>
      <c r="D83" s="5"/>
      <c r="E83" s="5"/>
      <c r="F83" s="5"/>
      <c r="G83" s="5"/>
      <c r="H83" s="7"/>
    </row>
    <row r="84" spans="1:8" x14ac:dyDescent="0.2">
      <c r="A84" s="5"/>
      <c r="B84" s="5"/>
      <c r="C84" s="5"/>
      <c r="D84" s="5"/>
      <c r="E84" s="5"/>
      <c r="F84" s="5"/>
      <c r="G84" s="5"/>
      <c r="H84" s="7"/>
    </row>
    <row r="85" spans="1:8" x14ac:dyDescent="0.2">
      <c r="A85" s="5"/>
      <c r="B85" s="5"/>
      <c r="C85" s="5"/>
      <c r="D85" s="5"/>
      <c r="E85" s="5"/>
      <c r="F85" s="5"/>
      <c r="G85" s="5"/>
      <c r="H85" s="7"/>
    </row>
    <row r="86" spans="1:8" x14ac:dyDescent="0.2">
      <c r="A86" s="5"/>
      <c r="B86" s="5"/>
      <c r="C86" s="5"/>
      <c r="D86" s="5"/>
      <c r="E86" s="5"/>
      <c r="F86" s="5"/>
      <c r="G86" s="5"/>
      <c r="H86" s="7"/>
    </row>
    <row r="87" spans="1:8" x14ac:dyDescent="0.2">
      <c r="A87" s="5"/>
      <c r="B87" s="5"/>
      <c r="C87" s="5"/>
      <c r="D87" s="5"/>
      <c r="E87" s="5"/>
      <c r="F87" s="5"/>
      <c r="G87" s="5"/>
      <c r="H87" s="7"/>
    </row>
    <row r="88" spans="1:8" x14ac:dyDescent="0.2">
      <c r="A88" s="5"/>
      <c r="B88" s="5"/>
      <c r="C88" s="5"/>
      <c r="D88" s="5"/>
      <c r="E88" s="5"/>
      <c r="F88" s="5"/>
      <c r="G88" s="5"/>
      <c r="H88" s="7"/>
    </row>
    <row r="89" spans="1:8" x14ac:dyDescent="0.2">
      <c r="A89" s="5"/>
      <c r="B89" s="5"/>
      <c r="C89" s="5"/>
      <c r="D89" s="5"/>
      <c r="E89" s="5"/>
      <c r="F89" s="5"/>
      <c r="G89" s="5"/>
      <c r="H89" s="7"/>
    </row>
    <row r="90" spans="1:8" x14ac:dyDescent="0.2">
      <c r="A90" s="5"/>
      <c r="B90" s="5"/>
      <c r="C90" s="5"/>
      <c r="D90" s="5"/>
      <c r="E90" s="5"/>
      <c r="F90" s="5"/>
      <c r="G90" s="5"/>
      <c r="H90" s="7"/>
    </row>
    <row r="91" spans="1:8" x14ac:dyDescent="0.2">
      <c r="A91" s="5"/>
      <c r="B91" s="5"/>
      <c r="C91" s="5"/>
      <c r="D91" s="5"/>
      <c r="E91" s="5"/>
      <c r="F91" s="5"/>
      <c r="G91" s="5"/>
      <c r="H91" s="7"/>
    </row>
    <row r="92" spans="1:8" x14ac:dyDescent="0.2">
      <c r="A92" s="5"/>
      <c r="B92" s="5"/>
      <c r="C92" s="5"/>
      <c r="D92" s="5"/>
      <c r="E92" s="5"/>
      <c r="F92" s="5"/>
      <c r="G92" s="5"/>
      <c r="H92" s="7"/>
    </row>
    <row r="93" spans="1:8" x14ac:dyDescent="0.2">
      <c r="A93" s="5"/>
      <c r="B93" s="5"/>
      <c r="C93" s="5"/>
      <c r="D93" s="5"/>
      <c r="E93" s="5"/>
      <c r="F93" s="5"/>
      <c r="G93" s="5"/>
      <c r="H93" s="7"/>
    </row>
    <row r="94" spans="1:8" x14ac:dyDescent="0.2">
      <c r="A94" s="5"/>
      <c r="B94" s="5"/>
      <c r="C94" s="5"/>
      <c r="D94" s="5"/>
      <c r="E94" s="5"/>
      <c r="F94" s="5"/>
      <c r="G94" s="5"/>
      <c r="H94" s="7"/>
    </row>
    <row r="95" spans="1:8" x14ac:dyDescent="0.2">
      <c r="A95" s="5"/>
      <c r="B95" s="5"/>
      <c r="C95" s="5"/>
      <c r="D95" s="5"/>
      <c r="E95" s="5"/>
      <c r="F95" s="5"/>
      <c r="G95" s="5"/>
      <c r="H95" s="7"/>
    </row>
    <row r="96" spans="1:8" x14ac:dyDescent="0.2">
      <c r="A96" s="5"/>
      <c r="B96" s="5"/>
      <c r="C96" s="5"/>
      <c r="D96" s="5"/>
      <c r="E96" s="5"/>
      <c r="F96" s="5"/>
      <c r="G96" s="5"/>
      <c r="H96" s="7"/>
    </row>
    <row r="97" spans="1:8" x14ac:dyDescent="0.2">
      <c r="A97" s="5"/>
      <c r="B97" s="5"/>
      <c r="C97" s="5"/>
      <c r="D97" s="5"/>
      <c r="E97" s="5"/>
      <c r="F97" s="5"/>
      <c r="G97" s="5"/>
      <c r="H97" s="7"/>
    </row>
    <row r="98" spans="1:8" x14ac:dyDescent="0.2">
      <c r="A98" s="5"/>
      <c r="B98" s="5"/>
      <c r="C98" s="5"/>
      <c r="D98" s="5"/>
      <c r="E98" s="5"/>
      <c r="F98" s="5"/>
      <c r="G98" s="5"/>
      <c r="H98" s="7"/>
    </row>
    <row r="99" spans="1:8" x14ac:dyDescent="0.2">
      <c r="A99" s="5"/>
      <c r="B99" s="5"/>
      <c r="C99" s="5"/>
      <c r="D99" s="5"/>
      <c r="E99" s="5"/>
      <c r="F99" s="5"/>
      <c r="G99" s="5"/>
      <c r="H99" s="7"/>
    </row>
    <row r="100" spans="1:8" x14ac:dyDescent="0.2">
      <c r="A100" s="5"/>
      <c r="B100" s="5"/>
      <c r="C100" s="5"/>
      <c r="D100" s="5"/>
      <c r="E100" s="5"/>
      <c r="F100" s="5"/>
      <c r="G100" s="5"/>
      <c r="H100" s="7"/>
    </row>
    <row r="101" spans="1:8" x14ac:dyDescent="0.2">
      <c r="A101" s="5"/>
      <c r="B101" s="5"/>
      <c r="C101" s="5"/>
      <c r="D101" s="5"/>
      <c r="E101" s="5"/>
      <c r="F101" s="5"/>
      <c r="G101" s="5"/>
      <c r="H101" s="7"/>
    </row>
    <row r="102" spans="1:8" x14ac:dyDescent="0.2">
      <c r="A102" s="5"/>
      <c r="B102" s="5"/>
      <c r="C102" s="5"/>
      <c r="D102" s="5"/>
      <c r="E102" s="5"/>
      <c r="F102" s="5"/>
      <c r="G102" s="5"/>
      <c r="H102" s="7"/>
    </row>
    <row r="103" spans="1:8" x14ac:dyDescent="0.2">
      <c r="A103" s="5"/>
      <c r="B103" s="5"/>
      <c r="C103" s="5"/>
      <c r="D103" s="5"/>
      <c r="E103" s="5"/>
      <c r="F103" s="5"/>
      <c r="G103" s="5"/>
      <c r="H103" s="7"/>
    </row>
    <row r="104" spans="1:8" x14ac:dyDescent="0.2">
      <c r="A104" s="5"/>
      <c r="B104" s="5"/>
      <c r="C104" s="5"/>
      <c r="D104" s="5"/>
      <c r="E104" s="5"/>
      <c r="F104" s="5"/>
      <c r="G104" s="5"/>
      <c r="H104" s="7"/>
    </row>
    <row r="105" spans="1:8" x14ac:dyDescent="0.2">
      <c r="A105" s="5"/>
      <c r="B105" s="5"/>
      <c r="C105" s="5"/>
      <c r="D105" s="5"/>
      <c r="E105" s="5"/>
      <c r="F105" s="5"/>
      <c r="G105" s="5"/>
      <c r="H105" s="7"/>
    </row>
    <row r="106" spans="1:8" x14ac:dyDescent="0.2">
      <c r="A106" s="5"/>
      <c r="B106" s="5"/>
      <c r="C106" s="5"/>
      <c r="D106" s="5"/>
      <c r="E106" s="5"/>
      <c r="F106" s="5"/>
      <c r="G106" s="5"/>
      <c r="H106" s="7"/>
    </row>
    <row r="107" spans="1:8" x14ac:dyDescent="0.2">
      <c r="A107" s="5"/>
      <c r="B107" s="5"/>
      <c r="C107" s="5"/>
      <c r="D107" s="5"/>
      <c r="E107" s="5"/>
      <c r="F107" s="5"/>
      <c r="G107" s="5"/>
      <c r="H107" s="7"/>
    </row>
    <row r="108" spans="1:8" x14ac:dyDescent="0.2">
      <c r="A108" s="5"/>
      <c r="B108" s="5"/>
      <c r="C108" s="5"/>
      <c r="D108" s="5"/>
      <c r="E108" s="5"/>
      <c r="F108" s="5"/>
      <c r="G108" s="5"/>
      <c r="H108" s="7"/>
    </row>
    <row r="109" spans="1:8" x14ac:dyDescent="0.2">
      <c r="A109" s="5"/>
      <c r="B109" s="5"/>
      <c r="C109" s="5"/>
      <c r="D109" s="5"/>
      <c r="E109" s="5"/>
      <c r="F109" s="5"/>
      <c r="G109" s="5"/>
      <c r="H109" s="7"/>
    </row>
    <row r="110" spans="1:8" x14ac:dyDescent="0.2">
      <c r="A110" s="5"/>
      <c r="B110" s="5"/>
      <c r="C110" s="5"/>
      <c r="D110" s="5"/>
      <c r="E110" s="5"/>
      <c r="F110" s="5"/>
      <c r="G110" s="5"/>
      <c r="H110" s="7"/>
    </row>
    <row r="111" spans="1:8" x14ac:dyDescent="0.2">
      <c r="A111" s="5"/>
      <c r="B111" s="5"/>
      <c r="C111" s="5"/>
      <c r="D111" s="5"/>
      <c r="E111" s="5"/>
      <c r="F111" s="5"/>
      <c r="G111" s="5"/>
      <c r="H111" s="7"/>
    </row>
    <row r="112" spans="1:8" x14ac:dyDescent="0.2">
      <c r="A112" s="5"/>
      <c r="B112" s="5"/>
      <c r="C112" s="5"/>
      <c r="D112" s="5"/>
      <c r="E112" s="5"/>
      <c r="F112" s="5"/>
      <c r="G112" s="5"/>
      <c r="H112" s="7"/>
    </row>
    <row r="113" spans="1:8" x14ac:dyDescent="0.2">
      <c r="A113" s="5"/>
      <c r="B113" s="5"/>
      <c r="C113" s="5"/>
      <c r="D113" s="5"/>
      <c r="E113" s="5"/>
      <c r="F113" s="5"/>
      <c r="G113" s="5"/>
      <c r="H113" s="7"/>
    </row>
    <row r="114" spans="1:8" x14ac:dyDescent="0.2">
      <c r="A114" s="5"/>
      <c r="B114" s="5"/>
      <c r="C114" s="5"/>
      <c r="D114" s="5"/>
      <c r="E114" s="5"/>
      <c r="F114" s="5"/>
      <c r="G114" s="5"/>
      <c r="H114" s="7"/>
    </row>
    <row r="115" spans="1:8" x14ac:dyDescent="0.2">
      <c r="A115" s="5"/>
      <c r="B115" s="5"/>
      <c r="C115" s="5"/>
      <c r="D115" s="5"/>
      <c r="E115" s="5"/>
      <c r="F115" s="5"/>
      <c r="G115" s="5"/>
      <c r="H115" s="7"/>
    </row>
    <row r="116" spans="1:8" x14ac:dyDescent="0.2">
      <c r="A116" s="5"/>
      <c r="B116" s="5"/>
      <c r="C116" s="5"/>
      <c r="D116" s="5"/>
      <c r="E116" s="5"/>
      <c r="F116" s="5"/>
      <c r="G116" s="5"/>
      <c r="H116" s="7"/>
    </row>
    <row r="117" spans="1:8" x14ac:dyDescent="0.2">
      <c r="A117" s="5"/>
      <c r="B117" s="5"/>
      <c r="C117" s="5"/>
      <c r="D117" s="5"/>
      <c r="E117" s="5"/>
      <c r="F117" s="5"/>
      <c r="G117" s="5"/>
      <c r="H117" s="7"/>
    </row>
    <row r="118" spans="1:8" x14ac:dyDescent="0.2">
      <c r="A118" s="5"/>
      <c r="B118" s="5"/>
      <c r="C118" s="5"/>
      <c r="D118" s="5"/>
      <c r="E118" s="5"/>
      <c r="F118" s="5"/>
      <c r="G118" s="5"/>
      <c r="H118" s="7"/>
    </row>
    <row r="119" spans="1:8" x14ac:dyDescent="0.2">
      <c r="A119" s="5"/>
      <c r="B119" s="5"/>
      <c r="C119" s="5"/>
      <c r="D119" s="5"/>
      <c r="E119" s="5"/>
      <c r="F119" s="5"/>
      <c r="G119" s="5"/>
      <c r="H119" s="7"/>
    </row>
    <row r="120" spans="1:8" x14ac:dyDescent="0.2">
      <c r="A120" s="5"/>
      <c r="B120" s="5"/>
      <c r="C120" s="5"/>
      <c r="D120" s="5"/>
      <c r="E120" s="5"/>
      <c r="F120" s="5"/>
      <c r="G120" s="5"/>
      <c r="H120" s="7"/>
    </row>
    <row r="121" spans="1:8" x14ac:dyDescent="0.2">
      <c r="A121" s="5"/>
      <c r="B121" s="5"/>
      <c r="C121" s="5"/>
      <c r="D121" s="5"/>
      <c r="E121" s="5"/>
      <c r="F121" s="5"/>
      <c r="G121" s="5"/>
      <c r="H121" s="7"/>
    </row>
    <row r="122" spans="1:8" x14ac:dyDescent="0.2">
      <c r="A122" s="5"/>
      <c r="B122" s="5"/>
      <c r="C122" s="5"/>
      <c r="D122" s="5"/>
      <c r="E122" s="5"/>
      <c r="F122" s="5"/>
      <c r="G122" s="5"/>
      <c r="H122" s="7"/>
    </row>
    <row r="123" spans="1:8" x14ac:dyDescent="0.2">
      <c r="A123" s="5"/>
      <c r="B123" s="5"/>
      <c r="C123" s="5"/>
      <c r="D123" s="5"/>
      <c r="E123" s="5"/>
      <c r="F123" s="5"/>
      <c r="G123" s="5"/>
      <c r="H123" s="7"/>
    </row>
    <row r="124" spans="1:8" x14ac:dyDescent="0.2">
      <c r="A124" s="5"/>
      <c r="B124" s="5"/>
      <c r="C124" s="5"/>
      <c r="D124" s="5"/>
      <c r="E124" s="5"/>
      <c r="F124" s="5"/>
      <c r="G124" s="5"/>
      <c r="H124" s="7"/>
    </row>
    <row r="125" spans="1:8" x14ac:dyDescent="0.2">
      <c r="A125" s="5"/>
      <c r="B125" s="5"/>
      <c r="C125" s="5"/>
      <c r="D125" s="5"/>
      <c r="E125" s="5"/>
      <c r="F125" s="5"/>
      <c r="G125" s="5"/>
      <c r="H125" s="7"/>
    </row>
    <row r="126" spans="1:8" x14ac:dyDescent="0.2">
      <c r="A126" s="5"/>
      <c r="B126" s="5"/>
      <c r="C126" s="5"/>
      <c r="D126" s="5"/>
      <c r="E126" s="5"/>
      <c r="F126" s="5"/>
      <c r="G126" s="5"/>
      <c r="H126" s="7"/>
    </row>
    <row r="127" spans="1:8" x14ac:dyDescent="0.2">
      <c r="A127" s="5"/>
      <c r="B127" s="5"/>
      <c r="C127" s="5"/>
      <c r="D127" s="5"/>
      <c r="E127" s="5"/>
      <c r="F127" s="5"/>
      <c r="G127" s="5"/>
      <c r="H127" s="7"/>
    </row>
    <row r="128" spans="1:8" x14ac:dyDescent="0.2">
      <c r="A128" s="5"/>
      <c r="B128" s="5"/>
      <c r="C128" s="5"/>
      <c r="D128" s="5"/>
      <c r="E128" s="5"/>
      <c r="F128" s="5"/>
      <c r="G128" s="5"/>
      <c r="H128" s="7"/>
    </row>
    <row r="129" spans="1:8" x14ac:dyDescent="0.2">
      <c r="A129" s="5"/>
      <c r="B129" s="5"/>
      <c r="C129" s="5"/>
      <c r="D129" s="5"/>
      <c r="E129" s="5"/>
      <c r="F129" s="5"/>
      <c r="G129" s="5"/>
      <c r="H129" s="7"/>
    </row>
    <row r="130" spans="1:8" x14ac:dyDescent="0.2">
      <c r="A130" s="5"/>
      <c r="B130" s="5"/>
      <c r="C130" s="5"/>
      <c r="D130" s="5"/>
      <c r="E130" s="5"/>
      <c r="F130" s="5"/>
      <c r="G130" s="5"/>
      <c r="H130" s="7"/>
    </row>
    <row r="131" spans="1:8" x14ac:dyDescent="0.2">
      <c r="A131" s="5"/>
      <c r="B131" s="5"/>
      <c r="C131" s="5"/>
      <c r="D131" s="5"/>
      <c r="E131" s="5"/>
      <c r="F131" s="5"/>
      <c r="G131" s="5"/>
      <c r="H131" s="7"/>
    </row>
    <row r="132" spans="1:8" x14ac:dyDescent="0.2">
      <c r="A132" s="5"/>
      <c r="B132" s="5"/>
      <c r="C132" s="5"/>
      <c r="D132" s="5"/>
      <c r="E132" s="5"/>
      <c r="F132" s="5"/>
      <c r="G132" s="5"/>
      <c r="H132" s="7"/>
    </row>
    <row r="133" spans="1:8" x14ac:dyDescent="0.2">
      <c r="A133" s="5"/>
      <c r="B133" s="5"/>
      <c r="C133" s="5"/>
      <c r="D133" s="5"/>
      <c r="E133" s="5"/>
      <c r="F133" s="5"/>
      <c r="G133" s="5"/>
      <c r="H133" s="7"/>
    </row>
    <row r="134" spans="1:8" x14ac:dyDescent="0.2">
      <c r="A134" s="5"/>
      <c r="B134" s="5"/>
      <c r="C134" s="5"/>
      <c r="D134" s="5"/>
      <c r="E134" s="5"/>
      <c r="F134" s="5"/>
      <c r="G134" s="5"/>
      <c r="H134" s="7"/>
    </row>
    <row r="135" spans="1:8" x14ac:dyDescent="0.2">
      <c r="A135" s="5"/>
      <c r="B135" s="5"/>
      <c r="C135" s="5"/>
      <c r="D135" s="5"/>
      <c r="E135" s="5"/>
      <c r="F135" s="5"/>
      <c r="G135" s="5"/>
      <c r="H135" s="7"/>
    </row>
    <row r="136" spans="1:8" x14ac:dyDescent="0.2">
      <c r="A136" s="5"/>
      <c r="B136" s="5"/>
      <c r="C136" s="5"/>
      <c r="D136" s="5"/>
      <c r="E136" s="5"/>
      <c r="F136" s="5"/>
      <c r="G136" s="5"/>
      <c r="H136" s="7"/>
    </row>
    <row r="137" spans="1:8" x14ac:dyDescent="0.2">
      <c r="A137" s="5"/>
      <c r="B137" s="5"/>
      <c r="C137" s="5"/>
      <c r="D137" s="5"/>
      <c r="E137" s="5"/>
      <c r="F137" s="5"/>
      <c r="G137" s="5"/>
      <c r="H137" s="7"/>
    </row>
    <row r="138" spans="1:8" x14ac:dyDescent="0.2">
      <c r="A138" s="5"/>
      <c r="B138" s="5"/>
      <c r="C138" s="5"/>
      <c r="D138" s="5"/>
      <c r="E138" s="5"/>
      <c r="F138" s="5"/>
      <c r="G138" s="5"/>
      <c r="H138" s="7"/>
    </row>
  </sheetData>
  <sheetProtection selectLockedCells="1"/>
  <mergeCells count="3">
    <mergeCell ref="A1:E1"/>
    <mergeCell ref="A2:L2"/>
    <mergeCell ref="M4:N4"/>
  </mergeCells>
  <phoneticPr fontId="4" type="noConversion"/>
  <conditionalFormatting sqref="G1:XFD1 A2:B2 G3:XFD3 M2:XFD2 A17:B17 J33:L138 J5:XFD5 M16:XFD1048576 A33:H138 A139:L1048576 M6:XFD14 A4:B15 J6:L17 C5:H17 J31:L31 A31:H31 C4:M4 O4:XFD4">
    <cfRule type="expression" dxfId="132" priority="3">
      <formula>CELL("Schutz",A1)=0</formula>
    </cfRule>
  </conditionalFormatting>
  <conditionalFormatting sqref="A16:B16">
    <cfRule type="expression" dxfId="131" priority="2">
      <formula>CELL("Schutz",A16)=0</formula>
    </cfRule>
  </conditionalFormatting>
  <pageMargins left="0.7" right="0.7" top="0.78740157499999996" bottom="0.78740157499999996" header="0.3" footer="0.3"/>
  <pageSetup paperSize="9" scale="94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E07FF-965D-4012-B841-20FB5F5CC7A4}">
  <sheetPr>
    <tabColor rgb="FF92D050"/>
  </sheetPr>
  <dimension ref="A2:O16"/>
  <sheetViews>
    <sheetView workbookViewId="0">
      <pane ySplit="4" topLeftCell="A5" activePane="bottomLeft" state="frozen"/>
      <selection activeCell="C44" sqref="C44"/>
      <selection pane="bottomLeft" activeCell="G32" sqref="G32"/>
    </sheetView>
  </sheetViews>
  <sheetFormatPr baseColWidth="10" defaultRowHeight="12.75" x14ac:dyDescent="0.2"/>
  <cols>
    <col min="1" max="1" width="4.5703125" customWidth="1"/>
    <col min="2" max="2" width="21.5703125" bestFit="1" customWidth="1"/>
    <col min="3" max="3" width="13.28515625" customWidth="1"/>
    <col min="4" max="4" width="20.7109375" customWidth="1"/>
    <col min="5" max="5" width="13.7109375" bestFit="1" customWidth="1"/>
    <col min="6" max="6" width="17.42578125" customWidth="1"/>
    <col min="7" max="7" width="24.140625" customWidth="1"/>
    <col min="8" max="8" width="13.5703125" customWidth="1"/>
    <col min="9" max="9" width="24.140625" customWidth="1"/>
    <col min="10" max="10" width="27.7109375" customWidth="1"/>
    <col min="11" max="11" width="24.42578125" customWidth="1"/>
    <col min="12" max="12" width="14.42578125" customWidth="1"/>
  </cols>
  <sheetData>
    <row r="2" spans="1:15" x14ac:dyDescent="0.2">
      <c r="A2" s="164" t="s">
        <v>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1:15" ht="13.5" thickBot="1" x14ac:dyDescent="0.25"/>
    <row r="4" spans="1:15" s="21" customFormat="1" ht="57.75" customHeight="1" thickBot="1" x14ac:dyDescent="0.25">
      <c r="B4" s="106" t="s">
        <v>24</v>
      </c>
      <c r="C4" s="106" t="s">
        <v>36</v>
      </c>
      <c r="D4" s="106" t="s">
        <v>37</v>
      </c>
      <c r="E4" s="106" t="s">
        <v>57</v>
      </c>
      <c r="F4" s="106" t="s">
        <v>75</v>
      </c>
      <c r="G4" s="106" t="s">
        <v>9</v>
      </c>
      <c r="H4" s="106" t="s">
        <v>10</v>
      </c>
      <c r="I4" s="106" t="s">
        <v>11</v>
      </c>
      <c r="J4" s="106" t="s">
        <v>12</v>
      </c>
      <c r="K4" s="106" t="s">
        <v>13</v>
      </c>
      <c r="L4" s="107" t="s">
        <v>14</v>
      </c>
      <c r="M4" s="168" t="s">
        <v>88</v>
      </c>
      <c r="N4" s="169"/>
      <c r="O4" s="170"/>
    </row>
    <row r="5" spans="1:15" x14ac:dyDescent="0.2">
      <c r="B5" s="5" t="s">
        <v>71</v>
      </c>
      <c r="C5" s="5">
        <v>98489447</v>
      </c>
      <c r="D5" s="6">
        <v>45396</v>
      </c>
      <c r="E5" s="5">
        <f>IF(Tabelle7[[#This Row],[Abrechungsmonat]]&gt;0,ROUNDUP(MONTH(Tabelle7[[#This Row],[Abrechungsmonat]])/3,0),"0")</f>
        <v>1</v>
      </c>
      <c r="F5" s="104">
        <v>45352</v>
      </c>
      <c r="G5" s="5">
        <v>122544</v>
      </c>
      <c r="H5" s="5">
        <v>124</v>
      </c>
      <c r="I5" s="5">
        <v>450</v>
      </c>
      <c r="J5" s="5">
        <v>45</v>
      </c>
      <c r="K5" s="5">
        <v>0</v>
      </c>
      <c r="L5" s="8">
        <f>Tabelle7[[#This Row],[Abgerechnete Leistungskomplexpunkte]]*0.00254+Tabelle7[[#This Row],[Abgerechnete Zeitstunden]]*1.51+Tabelle7[[#This Row],[Hausbesuche für Einsätze bei einzelnen Pflegebedürftigen, nur Leistungen nach SGB XI]]*0.00254*100+Tabelle7[[#This Row],[Hausbesuche für Einsätze bei einzelnen Pflegebedürftigen, Leistungen nach SGB XI u. SGB V]]*0.00254*50+Tabelle7[[#This Row],[Hausbesuche für mehrere Pflegeeinsätze mit einmaliger Anfahrt, je Einsatz]]*0.00254*25</f>
        <v>618.51676000000009</v>
      </c>
      <c r="M5" s="1"/>
    </row>
    <row r="6" spans="1:15" x14ac:dyDescent="0.2">
      <c r="B6" s="5" t="s">
        <v>72</v>
      </c>
      <c r="C6" s="5">
        <v>61656516</v>
      </c>
      <c r="D6" s="6">
        <v>45337</v>
      </c>
      <c r="E6" s="5">
        <f>IF(Tabelle7[[#This Row],[Abrechungsmonat]]&gt;0,ROUNDUP(MONTH(Tabelle7[[#This Row],[Abrechungsmonat]])/3,0),"0")</f>
        <v>1</v>
      </c>
      <c r="F6" s="104">
        <v>45292</v>
      </c>
      <c r="G6" s="5">
        <v>161644</v>
      </c>
      <c r="H6" s="5">
        <v>133</v>
      </c>
      <c r="I6" s="5">
        <v>500</v>
      </c>
      <c r="J6" s="5">
        <v>468</v>
      </c>
      <c r="K6" s="5">
        <v>0</v>
      </c>
      <c r="L6" s="8">
        <f>Tabelle7[[#This Row],[Abgerechnete Leistungskomplexpunkte]]*0.00254+Tabelle7[[#This Row],[Abgerechnete Zeitstunden]]*1.51+Tabelle7[[#This Row],[Hausbesuche für Einsätze bei einzelnen Pflegebedürftigen, nur Leistungen nach SGB XI]]*0.00254*100+Tabelle7[[#This Row],[Hausbesuche für Einsätze bei einzelnen Pflegebedürftigen, Leistungen nach SGB XI u. SGB V]]*0.00254*50+Tabelle7[[#This Row],[Hausbesuche für mehrere Pflegeeinsätze mit einmaliger Anfahrt, je Einsatz]]*0.00254*25</f>
        <v>797.84176000000002</v>
      </c>
      <c r="M6" s="1"/>
    </row>
    <row r="7" spans="1:15" x14ac:dyDescent="0.2">
      <c r="B7" s="5" t="s">
        <v>73</v>
      </c>
      <c r="C7" s="5">
        <v>99489498</v>
      </c>
      <c r="D7" s="6">
        <v>45338</v>
      </c>
      <c r="E7" s="5">
        <f>IF(Tabelle7[[#This Row],[Abrechungsmonat]]&gt;0,ROUNDUP(MONTH(Tabelle7[[#This Row],[Abrechungsmonat]])/3,0),"0")</f>
        <v>1</v>
      </c>
      <c r="F7" s="104">
        <v>45292</v>
      </c>
      <c r="G7" s="5">
        <v>164464</v>
      </c>
      <c r="H7" s="5">
        <v>54</v>
      </c>
      <c r="I7" s="5">
        <v>550</v>
      </c>
      <c r="J7" s="5">
        <v>65</v>
      </c>
      <c r="K7" s="5">
        <v>989</v>
      </c>
      <c r="L7" s="8">
        <f>Tabelle7[[#This Row],[Abgerechnete Leistungskomplexpunkte]]*0.00254+Tabelle7[[#This Row],[Abgerechnete Zeitstunden]]*1.51+Tabelle7[[#This Row],[Hausbesuche für Einsätze bei einzelnen Pflegebedürftigen, nur Leistungen nach SGB XI]]*0.00254*100+Tabelle7[[#This Row],[Hausbesuche für Einsätze bei einzelnen Pflegebedürftigen, Leistungen nach SGB XI u. SGB V]]*0.00254*50+Tabelle7[[#This Row],[Hausbesuche für mehrere Pflegeeinsätze mit einmaliger Anfahrt, je Einsatz]]*0.00254*25</f>
        <v>710.03506000000004</v>
      </c>
      <c r="M7" s="1"/>
    </row>
    <row r="8" spans="1:15" x14ac:dyDescent="0.2">
      <c r="B8" s="5" t="s">
        <v>74</v>
      </c>
      <c r="C8" s="5">
        <v>41964894</v>
      </c>
      <c r="D8" s="6">
        <v>45338</v>
      </c>
      <c r="E8" s="5">
        <f>IF(Tabelle7[[#This Row],[Abrechungsmonat]]&gt;0,ROUNDUP(MONTH(Tabelle7[[#This Row],[Abrechungsmonat]])/3,0),"0")</f>
        <v>1</v>
      </c>
      <c r="F8" s="104">
        <v>45292</v>
      </c>
      <c r="G8" s="5">
        <v>1616416</v>
      </c>
      <c r="H8" s="5">
        <v>311</v>
      </c>
      <c r="I8" s="5">
        <v>600</v>
      </c>
      <c r="J8" s="105">
        <v>654</v>
      </c>
      <c r="K8" s="105">
        <v>54</v>
      </c>
      <c r="L8" s="8">
        <f>Tabelle7[[#This Row],[Abgerechnete Leistungskomplexpunkte]]*0.00254+Tabelle7[[#This Row],[Abgerechnete Zeitstunden]]*1.51+Tabelle7[[#This Row],[Hausbesuche für Einsätze bei einzelnen Pflegebedürftigen, nur Leistungen nach SGB XI]]*0.00254*100+Tabelle7[[#This Row],[Hausbesuche für Einsätze bei einzelnen Pflegebedürftigen, Leistungen nach SGB XI u. SGB V]]*0.00254*50+Tabelle7[[#This Row],[Hausbesuche für mehrere Pflegeeinsätze mit einmaliger Anfahrt, je Einsatz]]*0.00254*25</f>
        <v>4814.1936399999995</v>
      </c>
      <c r="M8" s="1"/>
    </row>
    <row r="9" spans="1:15" x14ac:dyDescent="0.2">
      <c r="B9" s="5" t="s">
        <v>71</v>
      </c>
      <c r="C9" s="5">
        <v>98489447</v>
      </c>
      <c r="D9" s="6">
        <v>45437</v>
      </c>
      <c r="E9" s="5">
        <f>IF(Tabelle7[[#This Row],[Abrechungsmonat]]&gt;0,ROUNDUP(MONTH(Tabelle7[[#This Row],[Abrechungsmonat]])/3,0),"0")</f>
        <v>2</v>
      </c>
      <c r="F9" s="104">
        <v>45413</v>
      </c>
      <c r="G9" s="5">
        <v>165461</v>
      </c>
      <c r="H9" s="5">
        <v>15</v>
      </c>
      <c r="I9" s="5">
        <v>641</v>
      </c>
      <c r="J9" s="105">
        <v>615</v>
      </c>
      <c r="K9" s="105">
        <v>6</v>
      </c>
      <c r="L9" s="8">
        <f>Tabelle7[[#This Row],[Abgerechnete Leistungskomplexpunkte]]*0.00254+Tabelle7[[#This Row],[Abgerechnete Zeitstunden]]*1.51+Tabelle7[[#This Row],[Hausbesuche für Einsätze bei einzelnen Pflegebedürftigen, nur Leistungen nach SGB XI]]*0.00254*100+Tabelle7[[#This Row],[Hausbesuche für Einsätze bei einzelnen Pflegebedürftigen, Leistungen nach SGB XI u. SGB V]]*0.00254*50+Tabelle7[[#This Row],[Hausbesuche für mehrere Pflegeeinsätze mit einmaliger Anfahrt, je Einsatz]]*0.00254*25</f>
        <v>684.22094000000004</v>
      </c>
      <c r="M9" s="1"/>
    </row>
    <row r="10" spans="1:15" x14ac:dyDescent="0.2">
      <c r="B10" s="5" t="s">
        <v>72</v>
      </c>
      <c r="C10" s="5">
        <v>61656516</v>
      </c>
      <c r="D10" s="6">
        <v>45394</v>
      </c>
      <c r="E10" s="5">
        <f>IF(Tabelle7[[#This Row],[Abrechungsmonat]]&gt;0,ROUNDUP(MONTH(Tabelle7[[#This Row],[Abrechungsmonat]])/3,0),"0")</f>
        <v>1</v>
      </c>
      <c r="F10" s="104">
        <v>45352</v>
      </c>
      <c r="G10" s="5">
        <v>646464</v>
      </c>
      <c r="H10" s="5">
        <v>98</v>
      </c>
      <c r="I10" s="5">
        <v>622</v>
      </c>
      <c r="J10" s="105">
        <v>345</v>
      </c>
      <c r="K10" s="105">
        <v>0</v>
      </c>
      <c r="L10" s="8">
        <f>Tabelle7[[#This Row],[Abgerechnete Leistungskomplexpunkte]]*0.00254+Tabelle7[[#This Row],[Abgerechnete Zeitstunden]]*1.51+Tabelle7[[#This Row],[Hausbesuche für Einsätze bei einzelnen Pflegebedürftigen, nur Leistungen nach SGB XI]]*0.00254*100+Tabelle7[[#This Row],[Hausbesuche für Einsätze bei einzelnen Pflegebedürftigen, Leistungen nach SGB XI u. SGB V]]*0.00254*50+Tabelle7[[#This Row],[Hausbesuche für mehrere Pflegeeinsätze mit einmaliger Anfahrt, je Einsatz]]*0.00254*25</f>
        <v>1991.8015600000003</v>
      </c>
      <c r="M10" s="1"/>
    </row>
    <row r="11" spans="1:15" x14ac:dyDescent="0.2">
      <c r="B11" s="5" t="s">
        <v>73</v>
      </c>
      <c r="C11" s="5">
        <v>99489498</v>
      </c>
      <c r="D11" s="6">
        <v>45393</v>
      </c>
      <c r="E11" s="5">
        <f>IF(Tabelle7[[#This Row],[Abrechungsmonat]]&gt;0,ROUNDUP(MONTH(Tabelle7[[#This Row],[Abrechungsmonat]])/3,0),"0")</f>
        <v>1</v>
      </c>
      <c r="F11" s="104">
        <v>45352</v>
      </c>
      <c r="G11" s="5">
        <v>949464</v>
      </c>
      <c r="H11" s="5">
        <v>75</v>
      </c>
      <c r="I11" s="5">
        <v>684</v>
      </c>
      <c r="J11" s="105">
        <v>3415</v>
      </c>
      <c r="K11" s="105">
        <v>541</v>
      </c>
      <c r="L11" s="8">
        <f>Tabelle7[[#This Row],[Abgerechnete Leistungskomplexpunkte]]*0.00254+Tabelle7[[#This Row],[Abgerechnete Zeitstunden]]*1.51+Tabelle7[[#This Row],[Hausbesuche für Einsätze bei einzelnen Pflegebedürftigen, nur Leistungen nach SGB XI]]*0.00254*100+Tabelle7[[#This Row],[Hausbesuche für Einsätze bei einzelnen Pflegebedürftigen, Leistungen nach SGB XI u. SGB V]]*0.00254*50+Tabelle7[[#This Row],[Hausbesuche für mehrere Pflegeeinsätze mit einmaliger Anfahrt, je Einsatz]]*0.00254*25</f>
        <v>3166.6830600000003</v>
      </c>
      <c r="M11" s="1"/>
    </row>
    <row r="12" spans="1:15" x14ac:dyDescent="0.2">
      <c r="B12" s="5" t="s">
        <v>74</v>
      </c>
      <c r="C12" s="5">
        <v>41964894</v>
      </c>
      <c r="D12" s="6">
        <v>45404</v>
      </c>
      <c r="E12" s="5">
        <f>IF(Tabelle7[[#This Row],[Abrechungsmonat]]&gt;0,ROUNDUP(MONTH(Tabelle7[[#This Row],[Abrechungsmonat]])/3,0),"0")</f>
        <v>1</v>
      </c>
      <c r="F12" s="104">
        <v>45352</v>
      </c>
      <c r="G12" s="5">
        <v>464464</v>
      </c>
      <c r="H12" s="5">
        <v>65</v>
      </c>
      <c r="I12" s="5">
        <v>687</v>
      </c>
      <c r="J12" s="105">
        <v>54</v>
      </c>
      <c r="K12" s="105">
        <v>54</v>
      </c>
      <c r="L12" s="8">
        <f>Tabelle7[[#This Row],[Abgerechnete Leistungskomplexpunkte]]*0.00254+Tabelle7[[#This Row],[Abgerechnete Zeitstunden]]*1.51+Tabelle7[[#This Row],[Hausbesuche für Einsätze bei einzelnen Pflegebedürftigen, nur Leistungen nach SGB XI]]*0.00254*100+Tabelle7[[#This Row],[Hausbesuche für Einsätze bei einzelnen Pflegebedürftigen, Leistungen nach SGB XI u. SGB V]]*0.00254*50+Tabelle7[[#This Row],[Hausbesuche für mehrere Pflegeeinsätze mit einmaliger Anfahrt, je Einsatz]]*0.00254*25</f>
        <v>1462.6735600000002</v>
      </c>
      <c r="M12" s="1"/>
    </row>
    <row r="13" spans="1:15" x14ac:dyDescent="0.2">
      <c r="B13" s="5" t="s">
        <v>71</v>
      </c>
      <c r="C13" s="5">
        <v>98489447</v>
      </c>
      <c r="D13" s="6">
        <v>45377</v>
      </c>
      <c r="E13" s="5">
        <f>IF(Tabelle7[[#This Row],[Abrechungsmonat]]&gt;0,ROUNDUP(MONTH(Tabelle7[[#This Row],[Abrechungsmonat]])/3,0),"0")</f>
        <v>1</v>
      </c>
      <c r="F13" s="104">
        <v>45323</v>
      </c>
      <c r="G13" s="5">
        <v>464654</v>
      </c>
      <c r="H13" s="5">
        <v>54</v>
      </c>
      <c r="I13" s="5">
        <v>752</v>
      </c>
      <c r="J13" s="105">
        <v>354</v>
      </c>
      <c r="K13" s="105">
        <v>0</v>
      </c>
      <c r="L13" s="8">
        <f>Tabelle7[[#This Row],[Abgerechnete Leistungskomplexpunkte]]*0.00254+Tabelle7[[#This Row],[Abgerechnete Zeitstunden]]*1.51+Tabelle7[[#This Row],[Hausbesuche für Einsätze bei einzelnen Pflegebedürftigen, nur Leistungen nach SGB XI]]*0.00254*100+Tabelle7[[#This Row],[Hausbesuche für Einsätze bei einzelnen Pflegebedürftigen, Leistungen nach SGB XI u. SGB V]]*0.00254*50+Tabelle7[[#This Row],[Hausbesuche für mehrere Pflegeeinsätze mit einmaliger Anfahrt, je Einsatz]]*0.00254*25</f>
        <v>1497.7271600000001</v>
      </c>
      <c r="M13" s="1"/>
    </row>
    <row r="14" spans="1:15" x14ac:dyDescent="0.2">
      <c r="B14" s="5" t="s">
        <v>72</v>
      </c>
      <c r="C14" s="5">
        <v>61656516</v>
      </c>
      <c r="D14" s="6">
        <v>45375</v>
      </c>
      <c r="E14" s="5">
        <f>IF(Tabelle7[[#This Row],[Abrechungsmonat]]&gt;0,ROUNDUP(MONTH(Tabelle7[[#This Row],[Abrechungsmonat]])/3,0),"0")</f>
        <v>1</v>
      </c>
      <c r="F14" s="104">
        <v>45323</v>
      </c>
      <c r="G14" s="5">
        <v>9879464</v>
      </c>
      <c r="H14" s="5">
        <v>43</v>
      </c>
      <c r="I14" s="5">
        <v>854</v>
      </c>
      <c r="J14" s="105">
        <v>894</v>
      </c>
      <c r="K14" s="105">
        <v>0</v>
      </c>
      <c r="L14" s="8">
        <f>Tabelle7[[#This Row],[Abgerechnete Leistungskomplexpunkte]]*0.00254+Tabelle7[[#This Row],[Abgerechnete Zeitstunden]]*1.51+Tabelle7[[#This Row],[Hausbesuche für Einsätze bei einzelnen Pflegebedürftigen, nur Leistungen nach SGB XI]]*0.00254*100+Tabelle7[[#This Row],[Hausbesuche für Einsätze bei einzelnen Pflegebedürftigen, Leistungen nach SGB XI u. SGB V]]*0.00254*50+Tabelle7[[#This Row],[Hausbesuche für mehrere Pflegeeinsätze mit einmaliger Anfahrt, je Einsatz]]*0.00254*25</f>
        <v>25489.222560000002</v>
      </c>
      <c r="M14" s="1"/>
    </row>
    <row r="15" spans="1:15" x14ac:dyDescent="0.2">
      <c r="B15" s="5" t="s">
        <v>73</v>
      </c>
      <c r="C15" s="5">
        <v>99489498</v>
      </c>
      <c r="D15" s="6">
        <v>45376</v>
      </c>
      <c r="E15" s="5">
        <f>IF(Tabelle7[[#This Row],[Abrechungsmonat]]&gt;0,ROUNDUP(MONTH(Tabelle7[[#This Row],[Abrechungsmonat]])/3,0),"0")</f>
        <v>1</v>
      </c>
      <c r="F15" s="104">
        <v>45323</v>
      </c>
      <c r="G15" s="5">
        <v>64684</v>
      </c>
      <c r="H15" s="5">
        <v>321</v>
      </c>
      <c r="I15" s="5">
        <v>841</v>
      </c>
      <c r="J15" s="105">
        <v>354</v>
      </c>
      <c r="K15" s="105">
        <v>654</v>
      </c>
      <c r="L15" s="8">
        <f>Tabelle7[[#This Row],[Abgerechnete Leistungskomplexpunkte]]*0.00254+Tabelle7[[#This Row],[Abgerechnete Zeitstunden]]*1.51+Tabelle7[[#This Row],[Hausbesuche für Einsätze bei einzelnen Pflegebedürftigen, nur Leistungen nach SGB XI]]*0.00254*100+Tabelle7[[#This Row],[Hausbesuche für Einsätze bei einzelnen Pflegebedürftigen, Leistungen nach SGB XI u. SGB V]]*0.00254*50+Tabelle7[[#This Row],[Hausbesuche für mehrere Pflegeeinsätze mit einmaliger Anfahrt, je Einsatz]]*0.00254*25</f>
        <v>949.10835999999995</v>
      </c>
      <c r="M15" s="1"/>
    </row>
    <row r="16" spans="1:15" x14ac:dyDescent="0.2">
      <c r="B16" s="5" t="s">
        <v>74</v>
      </c>
      <c r="C16" s="5">
        <v>41964894</v>
      </c>
      <c r="D16" s="6">
        <v>45379</v>
      </c>
      <c r="E16" s="5">
        <f>IF(Tabelle7[[#This Row],[Abrechungsmonat]]&gt;0,ROUNDUP(MONTH(Tabelle7[[#This Row],[Abrechungsmonat]])/3,0),"0")</f>
        <v>1</v>
      </c>
      <c r="F16" s="104">
        <v>45323</v>
      </c>
      <c r="G16" s="5">
        <v>688988</v>
      </c>
      <c r="H16" s="5">
        <v>115</v>
      </c>
      <c r="I16" s="5">
        <v>962</v>
      </c>
      <c r="J16" s="105">
        <v>354</v>
      </c>
      <c r="K16" s="105">
        <v>54</v>
      </c>
      <c r="L16" s="8">
        <f>Tabelle7[[#This Row],[Abgerechnete Leistungskomplexpunkte]]*0.00254+Tabelle7[[#This Row],[Abgerechnete Zeitstunden]]*1.51+Tabelle7[[#This Row],[Hausbesuche für Einsätze bei einzelnen Pflegebedürftigen, nur Leistungen nach SGB XI]]*0.00254*100+Tabelle7[[#This Row],[Hausbesuche für Einsätze bei einzelnen Pflegebedürftigen, Leistungen nach SGB XI u. SGB V]]*0.00254*50+Tabelle7[[#This Row],[Hausbesuche für mehrere Pflegeeinsätze mit einmaliger Anfahrt, je Einsatz]]*0.00254*25</f>
        <v>2216.4145200000003</v>
      </c>
      <c r="M16" s="1"/>
    </row>
  </sheetData>
  <mergeCells count="2">
    <mergeCell ref="M4:O4"/>
    <mergeCell ref="A2:L2"/>
  </mergeCells>
  <conditionalFormatting sqref="B4:L4">
    <cfRule type="expression" dxfId="115" priority="2">
      <formula>CELL("Schutz",B4)=0</formula>
    </cfRule>
  </conditionalFormatting>
  <conditionalFormatting sqref="B5:M16">
    <cfRule type="expression" dxfId="114" priority="3">
      <formula>CELL("Schutz",B5)=0</formula>
    </cfRule>
  </conditionalFormatting>
  <conditionalFormatting sqref="A2:B2">
    <cfRule type="expression" dxfId="113" priority="1">
      <formula>CELL("Schutz",A2)=0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85B8B-AB66-42AA-8DBA-E52F9B2AA3F5}">
  <sheetPr>
    <tabColor rgb="FFFFC000"/>
  </sheetPr>
  <dimension ref="A2:O7"/>
  <sheetViews>
    <sheetView workbookViewId="0">
      <selection activeCell="H14" sqref="H14"/>
    </sheetView>
  </sheetViews>
  <sheetFormatPr baseColWidth="10" defaultRowHeight="12.75" x14ac:dyDescent="0.2"/>
  <cols>
    <col min="1" max="1" width="21.5703125" bestFit="1" customWidth="1"/>
    <col min="2" max="2" width="25.85546875" bestFit="1" customWidth="1"/>
    <col min="3" max="4" width="17.28515625" customWidth="1"/>
    <col min="5" max="5" width="17.5703125" customWidth="1"/>
    <col min="6" max="6" width="17.7109375" customWidth="1"/>
    <col min="7" max="7" width="16.5703125" bestFit="1" customWidth="1"/>
    <col min="8" max="8" width="24.5703125" bestFit="1" customWidth="1"/>
    <col min="9" max="9" width="22.5703125" bestFit="1" customWidth="1"/>
    <col min="10" max="10" width="14.5703125" bestFit="1" customWidth="1"/>
    <col min="11" max="11" width="16.140625" bestFit="1" customWidth="1"/>
  </cols>
  <sheetData>
    <row r="2" spans="1:15" ht="15.75" x14ac:dyDescent="0.25">
      <c r="A2" s="173" t="s">
        <v>83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5" t="s">
        <v>88</v>
      </c>
      <c r="M2" s="175"/>
      <c r="N2" s="175"/>
      <c r="O2" s="175"/>
    </row>
    <row r="3" spans="1:15" ht="12.75" customHeight="1" x14ac:dyDescent="0.2">
      <c r="A3" s="171" t="s">
        <v>84</v>
      </c>
      <c r="B3" s="172"/>
      <c r="C3" s="172"/>
      <c r="D3" s="172"/>
      <c r="E3" s="172"/>
      <c r="F3" s="172"/>
      <c r="G3" s="172"/>
      <c r="H3" s="172"/>
      <c r="I3" s="172"/>
      <c r="J3" s="172"/>
      <c r="L3" s="175"/>
      <c r="M3" s="175"/>
      <c r="N3" s="175"/>
      <c r="O3" s="175"/>
    </row>
    <row r="4" spans="1:15" ht="38.25" x14ac:dyDescent="0.2">
      <c r="A4" s="96" t="s">
        <v>61</v>
      </c>
      <c r="B4" s="96" t="s">
        <v>62</v>
      </c>
      <c r="C4" s="132" t="s">
        <v>91</v>
      </c>
      <c r="D4" s="132" t="s">
        <v>98</v>
      </c>
      <c r="E4" s="132" t="s">
        <v>97</v>
      </c>
      <c r="F4" s="133" t="s">
        <v>96</v>
      </c>
      <c r="G4" s="96" t="s">
        <v>63</v>
      </c>
      <c r="H4" s="96" t="s">
        <v>64</v>
      </c>
      <c r="I4" s="96" t="s">
        <v>65</v>
      </c>
      <c r="J4" s="96" t="s">
        <v>6</v>
      </c>
      <c r="K4" s="95" t="s">
        <v>70</v>
      </c>
      <c r="L4" s="175"/>
      <c r="M4" s="175"/>
      <c r="N4" s="175"/>
      <c r="O4" s="175"/>
    </row>
    <row r="5" spans="1:15" x14ac:dyDescent="0.2">
      <c r="A5" s="96" t="s">
        <v>38</v>
      </c>
      <c r="B5" s="96">
        <v>123445566</v>
      </c>
      <c r="C5" s="96">
        <v>34</v>
      </c>
      <c r="D5" s="96">
        <v>34</v>
      </c>
      <c r="E5" s="96">
        <v>54</v>
      </c>
      <c r="F5" s="96">
        <v>54</v>
      </c>
      <c r="G5" s="97">
        <v>45292</v>
      </c>
      <c r="H5" s="97">
        <v>45383</v>
      </c>
      <c r="I5" s="97">
        <v>45747</v>
      </c>
      <c r="J5" s="102">
        <v>12</v>
      </c>
      <c r="K5">
        <v>20</v>
      </c>
    </row>
    <row r="6" spans="1:15" x14ac:dyDescent="0.2">
      <c r="A6" s="96" t="s">
        <v>55</v>
      </c>
      <c r="B6" s="96">
        <v>5544554422</v>
      </c>
      <c r="C6" s="96">
        <v>34</v>
      </c>
      <c r="D6" s="96">
        <v>34</v>
      </c>
      <c r="E6" s="96">
        <v>53</v>
      </c>
      <c r="F6" s="96">
        <v>34</v>
      </c>
      <c r="G6" s="97">
        <v>45184</v>
      </c>
      <c r="H6" s="97">
        <v>45200</v>
      </c>
      <c r="I6" s="97">
        <v>45930</v>
      </c>
      <c r="J6" s="102">
        <v>13.37</v>
      </c>
      <c r="K6">
        <v>30</v>
      </c>
    </row>
    <row r="7" spans="1:15" x14ac:dyDescent="0.2">
      <c r="A7" t="s">
        <v>56</v>
      </c>
      <c r="B7">
        <v>4646465454</v>
      </c>
      <c r="C7">
        <v>55</v>
      </c>
      <c r="D7">
        <v>44</v>
      </c>
      <c r="E7">
        <v>34</v>
      </c>
      <c r="F7">
        <v>33</v>
      </c>
      <c r="G7" s="98">
        <v>45345</v>
      </c>
      <c r="H7" s="98">
        <v>45383</v>
      </c>
      <c r="I7" s="98">
        <v>45747</v>
      </c>
      <c r="J7" s="93">
        <v>9.59</v>
      </c>
      <c r="K7">
        <v>15</v>
      </c>
    </row>
  </sheetData>
  <mergeCells count="3">
    <mergeCell ref="A3:J3"/>
    <mergeCell ref="A2:K2"/>
    <mergeCell ref="L2:O4"/>
  </mergeCells>
  <conditionalFormatting sqref="A2">
    <cfRule type="expression" dxfId="98" priority="1">
      <formula>CELL("Schutz",A2)=0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rgb="FFFFC000"/>
    <pageSetUpPr fitToPage="1"/>
  </sheetPr>
  <dimension ref="A1:O195"/>
  <sheetViews>
    <sheetView workbookViewId="0">
      <pane ySplit="4" topLeftCell="A5" activePane="bottomLeft" state="frozen"/>
      <selection activeCell="K36" sqref="K36"/>
      <selection pane="bottomLeft" activeCell="M4" sqref="M4:O4"/>
    </sheetView>
  </sheetViews>
  <sheetFormatPr baseColWidth="10" defaultColWidth="11.42578125" defaultRowHeight="12.75" x14ac:dyDescent="0.2"/>
  <cols>
    <col min="1" max="1" width="20.7109375" style="1" customWidth="1"/>
    <col min="2" max="2" width="15.7109375" style="4" customWidth="1"/>
    <col min="3" max="3" width="18.85546875" style="1" customWidth="1"/>
    <col min="4" max="4" width="21.140625" style="1" customWidth="1"/>
    <col min="5" max="5" width="7.85546875" style="1" customWidth="1"/>
    <col min="6" max="7" width="20.85546875" style="1" customWidth="1"/>
    <col min="8" max="8" width="13.28515625" style="1" customWidth="1"/>
    <col min="9" max="9" width="14.7109375" style="1" customWidth="1"/>
    <col min="10" max="10" width="11.42578125" style="1" customWidth="1"/>
    <col min="11" max="11" width="12.7109375" style="1" customWidth="1"/>
    <col min="12" max="12" width="30.140625" style="1" customWidth="1"/>
    <col min="13" max="16384" width="11.42578125" style="1"/>
  </cols>
  <sheetData>
    <row r="1" spans="1:15" x14ac:dyDescent="0.2">
      <c r="B1" s="3"/>
    </row>
    <row r="2" spans="1:15" x14ac:dyDescent="0.2">
      <c r="A2" s="164" t="s">
        <v>26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1:15" x14ac:dyDescent="0.2">
      <c r="A3" s="17"/>
      <c r="B3" s="17"/>
      <c r="C3" s="17"/>
      <c r="D3" s="17"/>
      <c r="E3" s="73"/>
    </row>
    <row r="4" spans="1:15" s="32" customFormat="1" ht="83.25" customHeight="1" x14ac:dyDescent="0.2">
      <c r="A4" s="37" t="s">
        <v>27</v>
      </c>
      <c r="B4" s="37" t="s">
        <v>25</v>
      </c>
      <c r="C4" s="37" t="s">
        <v>28</v>
      </c>
      <c r="D4" s="37" t="s">
        <v>37</v>
      </c>
      <c r="E4" s="37" t="s">
        <v>57</v>
      </c>
      <c r="F4" s="37" t="s">
        <v>29</v>
      </c>
      <c r="G4" s="37" t="s">
        <v>30</v>
      </c>
      <c r="H4" s="37" t="s">
        <v>31</v>
      </c>
      <c r="I4" s="37" t="s">
        <v>16</v>
      </c>
      <c r="J4" s="37" t="s">
        <v>4</v>
      </c>
      <c r="K4" s="37" t="s">
        <v>6</v>
      </c>
      <c r="L4" s="38" t="s">
        <v>14</v>
      </c>
      <c r="M4" s="166" t="s">
        <v>87</v>
      </c>
      <c r="N4" s="176"/>
      <c r="O4" s="176"/>
    </row>
    <row r="5" spans="1:15" x14ac:dyDescent="0.2">
      <c r="A5" s="1" t="s">
        <v>38</v>
      </c>
      <c r="B5" s="43">
        <v>123445566</v>
      </c>
      <c r="C5" s="1">
        <v>20</v>
      </c>
      <c r="D5" s="44">
        <v>45488</v>
      </c>
      <c r="E5" s="77">
        <f>IF(Tabelle3[[#This Row],[Abrechnungszeitraum Ende]]&gt;0,ROUNDUP(MONTH(Tabelle3[[#This Row],[Abrechnungszeitraum Ende]])/3,0),"0")</f>
        <v>2</v>
      </c>
      <c r="F5" s="44">
        <v>45383</v>
      </c>
      <c r="G5" s="44">
        <v>45473</v>
      </c>
      <c r="H5" s="1">
        <v>63</v>
      </c>
      <c r="I5" s="1">
        <v>1200</v>
      </c>
      <c r="J5" s="45">
        <f>Tabelle3[[#This Row],[Belegungstage]]/(Tabelle3[[#This Row],[Öffnungstage]]*Tabelle3[[#This Row],[Plätze laut Versorgungsvertrag]])</f>
        <v>0.95238095238095233</v>
      </c>
      <c r="K5" s="8">
        <v>12</v>
      </c>
      <c r="L5" s="8">
        <f>Tabelle3[[#This Row],[Belegungstage]]*Tabelle3[[#This Row],[Tagesbetrag]]</f>
        <v>14400</v>
      </c>
    </row>
    <row r="6" spans="1:15" x14ac:dyDescent="0.2">
      <c r="A6" s="46" t="s">
        <v>55</v>
      </c>
      <c r="B6" s="43">
        <v>5544554422</v>
      </c>
      <c r="C6" s="1">
        <v>30</v>
      </c>
      <c r="D6" s="44">
        <v>45331</v>
      </c>
      <c r="E6" s="77">
        <f>IF(Tabelle3[[#This Row],[Abrechnungszeitraum Ende]]&gt;0,ROUNDUP(MONTH(Tabelle3[[#This Row],[Abrechnungszeitraum Ende]])/3,0),"0")</f>
        <v>1</v>
      </c>
      <c r="F6" s="44">
        <v>45292</v>
      </c>
      <c r="G6" s="44">
        <v>45382</v>
      </c>
      <c r="H6" s="1">
        <v>62</v>
      </c>
      <c r="I6" s="1">
        <v>1189</v>
      </c>
      <c r="J6" s="45">
        <f>Tabelle3[[#This Row],[Belegungstage]]/(Tabelle3[[#This Row],[Öffnungstage]]*Tabelle3[[#This Row],[Plätze laut Versorgungsvertrag]])</f>
        <v>0.63924731182795702</v>
      </c>
      <c r="K6" s="8">
        <v>13.37</v>
      </c>
      <c r="L6" s="8">
        <f>Tabelle3[[#This Row],[Belegungstage]]*Tabelle3[[#This Row],[Tagesbetrag]]</f>
        <v>15896.929999999998</v>
      </c>
    </row>
    <row r="7" spans="1:15" x14ac:dyDescent="0.2">
      <c r="A7" s="46" t="s">
        <v>56</v>
      </c>
      <c r="B7" s="43">
        <v>4646465454</v>
      </c>
      <c r="C7" s="1">
        <v>15</v>
      </c>
      <c r="D7" s="44">
        <v>45588</v>
      </c>
      <c r="E7" s="77">
        <f>IF(Tabelle3[[#This Row],[Abrechnungszeitraum Ende]]&gt;0,ROUNDUP(MONTH(Tabelle3[[#This Row],[Abrechnungszeitraum Ende]])/3,0),"0")</f>
        <v>3</v>
      </c>
      <c r="F7" s="44">
        <v>45474</v>
      </c>
      <c r="G7" s="44">
        <v>45565</v>
      </c>
      <c r="H7" s="1">
        <v>63</v>
      </c>
      <c r="I7" s="1">
        <v>879</v>
      </c>
      <c r="J7" s="45">
        <f>Tabelle3[[#This Row],[Belegungstage]]/(Tabelle3[[#This Row],[Öffnungstage]]*Tabelle3[[#This Row],[Plätze laut Versorgungsvertrag]])</f>
        <v>0.93015873015873018</v>
      </c>
      <c r="K7" s="8">
        <v>9.59</v>
      </c>
      <c r="L7" s="8">
        <f>Tabelle3[[#This Row],[Belegungstage]]*Tabelle3[[#This Row],[Tagesbetrag]]</f>
        <v>8429.61</v>
      </c>
    </row>
    <row r="8" spans="1:15" x14ac:dyDescent="0.2">
      <c r="A8" s="46" t="s">
        <v>55</v>
      </c>
      <c r="B8" s="43">
        <v>5544554422</v>
      </c>
      <c r="C8" s="1">
        <v>30</v>
      </c>
      <c r="D8" s="44">
        <v>45496</v>
      </c>
      <c r="E8" s="77">
        <f>IF(Tabelle3[[#This Row],[Abrechnungszeitraum Ende]]&gt;0,ROUNDUP(MONTH(Tabelle3[[#This Row],[Abrechnungszeitraum Ende]])/3,0),"0")</f>
        <v>2</v>
      </c>
      <c r="F8" s="44">
        <v>45383</v>
      </c>
      <c r="G8" s="44">
        <v>45473</v>
      </c>
      <c r="H8" s="1">
        <v>54</v>
      </c>
      <c r="I8" s="1">
        <v>496</v>
      </c>
      <c r="J8" s="45">
        <f>Tabelle3[[#This Row],[Belegungstage]]/(Tabelle3[[#This Row],[Öffnungstage]]*Tabelle3[[#This Row],[Plätze laut Versorgungsvertrag]])</f>
        <v>0.30617283950617286</v>
      </c>
      <c r="K8" s="8">
        <v>13.37</v>
      </c>
      <c r="L8" s="8">
        <f>Tabelle3[[#This Row],[Belegungstage]]*Tabelle3[[#This Row],[Tagesbetrag]]</f>
        <v>6631.5199999999995</v>
      </c>
    </row>
    <row r="9" spans="1:15" x14ac:dyDescent="0.2">
      <c r="A9" s="46" t="s">
        <v>56</v>
      </c>
      <c r="B9" s="43">
        <v>4646465454</v>
      </c>
      <c r="C9" s="1">
        <v>15</v>
      </c>
      <c r="D9" s="44">
        <v>45495</v>
      </c>
      <c r="E9" s="77">
        <f>IF(Tabelle3[[#This Row],[Abrechnungszeitraum Ende]]&gt;0,ROUNDUP(MONTH(Tabelle3[[#This Row],[Abrechnungszeitraum Ende]])/3,0),"0")</f>
        <v>2</v>
      </c>
      <c r="F9" s="44">
        <v>45383</v>
      </c>
      <c r="G9" s="44">
        <v>45473</v>
      </c>
      <c r="H9" s="1">
        <v>62</v>
      </c>
      <c r="I9" s="1">
        <v>882</v>
      </c>
      <c r="J9" s="45">
        <f>Tabelle3[[#This Row],[Belegungstage]]/(Tabelle3[[#This Row],[Öffnungstage]]*Tabelle3[[#This Row],[Plätze laut Versorgungsvertrag]])</f>
        <v>0.94838709677419353</v>
      </c>
      <c r="K9" s="8">
        <v>9.59</v>
      </c>
      <c r="L9" s="8">
        <f>Tabelle3[[#This Row],[Belegungstage]]*Tabelle3[[#This Row],[Tagesbetrag]]</f>
        <v>8458.3799999999992</v>
      </c>
    </row>
    <row r="10" spans="1:15" x14ac:dyDescent="0.2">
      <c r="A10" s="46" t="s">
        <v>55</v>
      </c>
      <c r="B10" s="43">
        <v>5544554422</v>
      </c>
      <c r="C10" s="1">
        <v>30</v>
      </c>
      <c r="D10" s="44">
        <v>45587</v>
      </c>
      <c r="E10" s="77">
        <f>IF(Tabelle3[[#This Row],[Abrechnungszeitraum Ende]]&gt;0,ROUNDUP(MONTH(Tabelle3[[#This Row],[Abrechnungszeitraum Ende]])/3,0),"0")</f>
        <v>3</v>
      </c>
      <c r="F10" s="44">
        <v>45474</v>
      </c>
      <c r="G10" s="44">
        <v>45565</v>
      </c>
      <c r="H10" s="1">
        <v>41</v>
      </c>
      <c r="I10" s="1">
        <v>420</v>
      </c>
      <c r="J10" s="45">
        <f>Tabelle3[[#This Row],[Belegungstage]]/(Tabelle3[[#This Row],[Öffnungstage]]*Tabelle3[[#This Row],[Plätze laut Versorgungsvertrag]])</f>
        <v>0.34146341463414637</v>
      </c>
      <c r="K10" s="8">
        <v>13.37</v>
      </c>
      <c r="L10" s="8">
        <f>Tabelle3[[#This Row],[Belegungstage]]*Tabelle3[[#This Row],[Tagesbetrag]]</f>
        <v>5615.4</v>
      </c>
    </row>
    <row r="11" spans="1:15" x14ac:dyDescent="0.2">
      <c r="A11" s="46" t="s">
        <v>55</v>
      </c>
      <c r="B11" s="43">
        <v>5544554422</v>
      </c>
      <c r="C11" s="1">
        <v>30</v>
      </c>
      <c r="D11" s="44">
        <v>45392</v>
      </c>
      <c r="E11" s="77">
        <f>IF(Tabelle3[[#This Row],[Abrechnungszeitraum Ende]]&gt;0,ROUNDUP(MONTH(Tabelle3[[#This Row],[Abrechnungszeitraum Ende]])/3,0),"0")</f>
        <v>2</v>
      </c>
      <c r="F11" s="44">
        <v>45383</v>
      </c>
      <c r="G11" s="44">
        <v>45473</v>
      </c>
      <c r="H11" s="1">
        <v>61</v>
      </c>
      <c r="I11" s="1">
        <v>804</v>
      </c>
      <c r="J11" s="45">
        <f>Tabelle3[[#This Row],[Belegungstage]]/(Tabelle3[[#This Row],[Öffnungstage]]*Tabelle3[[#This Row],[Plätze laut Versorgungsvertrag]])</f>
        <v>0.43934426229508194</v>
      </c>
      <c r="K11" s="8">
        <v>13.37</v>
      </c>
      <c r="L11" s="8">
        <f>Tabelle3[[#This Row],[Belegungstage]]*Tabelle3[[#This Row],[Tagesbetrag]]</f>
        <v>10749.48</v>
      </c>
    </row>
    <row r="12" spans="1:15" x14ac:dyDescent="0.2">
      <c r="A12" s="46" t="s">
        <v>55</v>
      </c>
      <c r="B12" s="43">
        <v>5544554422</v>
      </c>
      <c r="C12" s="1">
        <v>30</v>
      </c>
      <c r="D12" s="44">
        <v>45672</v>
      </c>
      <c r="E12" s="77">
        <f>IF(Tabelle3[[#This Row],[Abrechnungszeitraum Ende]]&gt;0,ROUNDUP(MONTH(Tabelle3[[#This Row],[Abrechnungszeitraum Ende]])/3,0),"0")</f>
        <v>4</v>
      </c>
      <c r="F12" s="44">
        <v>45566</v>
      </c>
      <c r="G12" s="44">
        <v>45657</v>
      </c>
      <c r="H12" s="1">
        <v>59</v>
      </c>
      <c r="I12" s="1">
        <v>1245</v>
      </c>
      <c r="J12" s="45">
        <f>Tabelle3[[#This Row],[Belegungstage]]/(Tabelle3[[#This Row],[Öffnungstage]]*Tabelle3[[#This Row],[Plätze laut Versorgungsvertrag]])</f>
        <v>0.70338983050847459</v>
      </c>
      <c r="K12" s="8">
        <v>13.37</v>
      </c>
      <c r="L12" s="8">
        <f>Tabelle3[[#This Row],[Belegungstage]]*Tabelle3[[#This Row],[Tagesbetrag]]</f>
        <v>16645.649999999998</v>
      </c>
    </row>
    <row r="13" spans="1:15" x14ac:dyDescent="0.2">
      <c r="A13" s="16"/>
      <c r="B13" s="1"/>
      <c r="C13" s="10"/>
      <c r="D13" s="9"/>
      <c r="E13" s="9"/>
      <c r="F13" s="11"/>
      <c r="G13" s="10"/>
      <c r="H13" s="13"/>
      <c r="I13" s="12"/>
    </row>
    <row r="14" spans="1:15" x14ac:dyDescent="0.2">
      <c r="A14" s="9"/>
      <c r="B14" s="9"/>
      <c r="C14" s="10"/>
      <c r="D14" s="9"/>
      <c r="E14" s="9"/>
      <c r="F14" s="11"/>
      <c r="G14" s="10"/>
      <c r="H14" s="13"/>
      <c r="I14" s="12"/>
    </row>
    <row r="15" spans="1:15" x14ac:dyDescent="0.2">
      <c r="A15" s="9"/>
      <c r="B15" s="9"/>
      <c r="C15" s="10"/>
      <c r="D15" s="9"/>
      <c r="E15" s="9"/>
      <c r="F15" s="11"/>
      <c r="G15" s="10"/>
      <c r="H15" s="13"/>
      <c r="I15" s="12"/>
    </row>
    <row r="16" spans="1:15" x14ac:dyDescent="0.2">
      <c r="A16" s="9"/>
      <c r="B16" s="9"/>
      <c r="C16" s="10"/>
      <c r="D16" s="9"/>
      <c r="E16" s="9"/>
      <c r="F16" s="11"/>
      <c r="G16" s="10"/>
      <c r="H16" s="13"/>
      <c r="I16" s="12"/>
    </row>
    <row r="17" spans="1:9" x14ac:dyDescent="0.2">
      <c r="A17" s="9"/>
      <c r="B17" s="9"/>
      <c r="C17" s="10"/>
      <c r="D17" s="9"/>
      <c r="E17" s="9"/>
      <c r="F17" s="11"/>
      <c r="G17" s="10"/>
      <c r="H17" s="13"/>
      <c r="I17" s="12"/>
    </row>
    <row r="18" spans="1:9" x14ac:dyDescent="0.2">
      <c r="A18" s="9"/>
      <c r="B18" s="9"/>
      <c r="C18" s="10"/>
      <c r="D18" s="9"/>
      <c r="E18" s="9"/>
      <c r="F18" s="11"/>
      <c r="G18" s="10"/>
      <c r="H18" s="13"/>
      <c r="I18" s="12"/>
    </row>
    <row r="19" spans="1:9" x14ac:dyDescent="0.2">
      <c r="A19" s="9"/>
      <c r="B19" s="9"/>
      <c r="C19" s="10"/>
      <c r="D19" s="9"/>
      <c r="E19" s="9"/>
      <c r="F19" s="11"/>
      <c r="G19" s="10"/>
      <c r="H19" s="13"/>
      <c r="I19" s="12"/>
    </row>
    <row r="20" spans="1:9" x14ac:dyDescent="0.2">
      <c r="A20" s="9"/>
      <c r="B20" s="9"/>
      <c r="C20" s="10"/>
      <c r="D20" s="9"/>
      <c r="E20" s="9"/>
      <c r="F20" s="11"/>
      <c r="G20" s="10"/>
      <c r="H20" s="13"/>
      <c r="I20" s="12"/>
    </row>
    <row r="21" spans="1:9" x14ac:dyDescent="0.2">
      <c r="A21" s="9"/>
      <c r="B21" s="9"/>
      <c r="C21" s="10"/>
      <c r="D21" s="9"/>
      <c r="E21" s="9"/>
      <c r="F21" s="11"/>
      <c r="G21" s="10"/>
      <c r="H21" s="13"/>
      <c r="I21" s="12"/>
    </row>
    <row r="22" spans="1:9" x14ac:dyDescent="0.2">
      <c r="A22" s="9"/>
      <c r="B22" s="9"/>
      <c r="C22" s="10"/>
      <c r="D22" s="9"/>
      <c r="E22" s="9"/>
      <c r="F22" s="11"/>
      <c r="G22" s="10"/>
      <c r="H22" s="13"/>
      <c r="I22" s="12"/>
    </row>
    <row r="23" spans="1:9" x14ac:dyDescent="0.2">
      <c r="A23" s="9"/>
      <c r="B23" s="9"/>
      <c r="C23" s="10"/>
      <c r="D23" s="9"/>
      <c r="E23" s="9"/>
      <c r="F23" s="11"/>
      <c r="G23" s="10"/>
      <c r="H23" s="13"/>
      <c r="I23" s="12"/>
    </row>
    <row r="24" spans="1:9" x14ac:dyDescent="0.2">
      <c r="A24" s="9"/>
      <c r="B24" s="9"/>
      <c r="C24" s="10"/>
      <c r="D24" s="9"/>
      <c r="E24" s="9"/>
      <c r="F24" s="11"/>
      <c r="G24" s="10"/>
      <c r="H24" s="13"/>
      <c r="I24" s="12"/>
    </row>
    <row r="25" spans="1:9" x14ac:dyDescent="0.2">
      <c r="A25" s="9"/>
      <c r="B25" s="9"/>
      <c r="C25" s="10"/>
      <c r="D25" s="9"/>
      <c r="E25" s="9"/>
      <c r="F25" s="11"/>
      <c r="G25" s="10"/>
      <c r="H25" s="13"/>
      <c r="I25" s="12"/>
    </row>
    <row r="26" spans="1:9" x14ac:dyDescent="0.2">
      <c r="A26" s="9"/>
      <c r="B26" s="9"/>
      <c r="C26" s="10"/>
      <c r="D26" s="9"/>
      <c r="E26" s="9"/>
      <c r="F26" s="11"/>
      <c r="G26" s="10"/>
      <c r="H26" s="13"/>
      <c r="I26" s="12"/>
    </row>
    <row r="27" spans="1:9" x14ac:dyDescent="0.2">
      <c r="A27" s="9"/>
      <c r="B27" s="9"/>
      <c r="C27" s="10"/>
      <c r="D27" s="9"/>
      <c r="E27" s="9"/>
      <c r="F27" s="11"/>
      <c r="G27" s="10"/>
      <c r="H27" s="13"/>
      <c r="I27" s="12"/>
    </row>
    <row r="28" spans="1:9" x14ac:dyDescent="0.2">
      <c r="A28" s="9"/>
      <c r="B28" s="9"/>
      <c r="C28" s="10"/>
      <c r="D28" s="9"/>
      <c r="E28" s="9"/>
      <c r="F28" s="11"/>
      <c r="G28" s="10"/>
      <c r="H28" s="13"/>
      <c r="I28" s="12"/>
    </row>
    <row r="29" spans="1:9" x14ac:dyDescent="0.2">
      <c r="A29" s="9"/>
      <c r="B29" s="9"/>
      <c r="C29" s="10"/>
      <c r="D29" s="9"/>
      <c r="E29" s="9"/>
      <c r="F29" s="11"/>
      <c r="G29" s="10"/>
      <c r="H29" s="13"/>
      <c r="I29" s="12"/>
    </row>
    <row r="30" spans="1:9" x14ac:dyDescent="0.2">
      <c r="A30" s="9"/>
      <c r="B30" s="9"/>
      <c r="C30" s="10"/>
      <c r="D30" s="9"/>
      <c r="E30" s="9"/>
      <c r="F30" s="11"/>
      <c r="G30" s="10"/>
      <c r="H30" s="13"/>
      <c r="I30" s="12"/>
    </row>
    <row r="31" spans="1:9" x14ac:dyDescent="0.2">
      <c r="A31" s="9"/>
      <c r="B31" s="9"/>
      <c r="C31" s="10"/>
      <c r="D31" s="9"/>
      <c r="E31" s="9"/>
      <c r="F31" s="11"/>
      <c r="G31" s="10"/>
      <c r="H31" s="13"/>
      <c r="I31" s="12"/>
    </row>
    <row r="32" spans="1:9" x14ac:dyDescent="0.2">
      <c r="A32" s="9"/>
      <c r="B32" s="9"/>
      <c r="C32" s="10"/>
      <c r="D32" s="9"/>
      <c r="E32" s="9"/>
      <c r="F32" s="11"/>
      <c r="G32" s="10"/>
      <c r="H32" s="13"/>
      <c r="I32" s="14"/>
    </row>
    <row r="33" spans="1:9" x14ac:dyDescent="0.2">
      <c r="A33" s="9"/>
      <c r="B33" s="9"/>
      <c r="C33" s="10"/>
      <c r="D33" s="9"/>
      <c r="E33" s="9"/>
      <c r="F33" s="11"/>
      <c r="G33" s="10"/>
      <c r="H33" s="13"/>
      <c r="I33" s="12"/>
    </row>
    <row r="34" spans="1:9" x14ac:dyDescent="0.2">
      <c r="A34" s="9"/>
      <c r="B34" s="9"/>
      <c r="C34" s="10"/>
      <c r="D34" s="9"/>
      <c r="E34" s="9"/>
      <c r="F34" s="11"/>
      <c r="G34" s="10"/>
      <c r="H34" s="13"/>
      <c r="I34" s="12"/>
    </row>
    <row r="35" spans="1:9" x14ac:dyDescent="0.2">
      <c r="A35" s="9"/>
      <c r="B35" s="9"/>
      <c r="C35" s="10"/>
      <c r="D35" s="9"/>
      <c r="E35" s="9"/>
      <c r="F35" s="11"/>
      <c r="G35" s="10"/>
      <c r="H35" s="13"/>
      <c r="I35" s="12"/>
    </row>
    <row r="36" spans="1:9" x14ac:dyDescent="0.2">
      <c r="A36" s="9"/>
      <c r="B36" s="9"/>
      <c r="C36" s="10"/>
      <c r="D36" s="9"/>
      <c r="E36" s="9"/>
      <c r="F36" s="11"/>
      <c r="G36" s="10"/>
      <c r="H36" s="13"/>
      <c r="I36" s="12"/>
    </row>
    <row r="37" spans="1:9" x14ac:dyDescent="0.2">
      <c r="A37" s="9"/>
      <c r="B37" s="9"/>
      <c r="C37" s="10"/>
      <c r="D37" s="9"/>
      <c r="E37" s="9"/>
      <c r="F37" s="11"/>
      <c r="G37" s="10"/>
      <c r="H37" s="13"/>
      <c r="I37" s="12"/>
    </row>
    <row r="38" spans="1:9" x14ac:dyDescent="0.2">
      <c r="A38" s="9"/>
      <c r="B38" s="9"/>
      <c r="C38" s="10"/>
      <c r="D38" s="9"/>
      <c r="E38" s="9"/>
      <c r="F38" s="11"/>
      <c r="G38" s="10"/>
      <c r="H38" s="13"/>
      <c r="I38" s="12"/>
    </row>
    <row r="39" spans="1:9" x14ac:dyDescent="0.2">
      <c r="A39" s="9"/>
      <c r="B39" s="9"/>
      <c r="C39" s="10"/>
      <c r="D39" s="9"/>
      <c r="E39" s="9"/>
      <c r="F39" s="11"/>
      <c r="G39" s="10"/>
      <c r="H39" s="13"/>
      <c r="I39" s="12"/>
    </row>
    <row r="40" spans="1:9" x14ac:dyDescent="0.2">
      <c r="A40" s="9"/>
      <c r="B40" s="9"/>
      <c r="C40" s="10"/>
      <c r="D40" s="9"/>
      <c r="E40" s="9"/>
      <c r="F40" s="11"/>
      <c r="G40" s="10"/>
      <c r="H40" s="13"/>
      <c r="I40" s="12"/>
    </row>
    <row r="41" spans="1:9" x14ac:dyDescent="0.2">
      <c r="A41" s="9"/>
      <c r="B41" s="9"/>
      <c r="C41" s="10"/>
      <c r="D41" s="9"/>
      <c r="E41" s="9"/>
      <c r="F41" s="11"/>
      <c r="G41" s="10"/>
      <c r="H41" s="13"/>
      <c r="I41" s="12"/>
    </row>
    <row r="42" spans="1:9" x14ac:dyDescent="0.2">
      <c r="A42" s="9"/>
      <c r="B42" s="9"/>
      <c r="C42" s="10"/>
      <c r="D42" s="9"/>
      <c r="E42" s="9"/>
      <c r="F42" s="11"/>
      <c r="G42" s="10"/>
      <c r="H42" s="13"/>
      <c r="I42" s="12"/>
    </row>
    <row r="43" spans="1:9" x14ac:dyDescent="0.2">
      <c r="A43" s="9"/>
      <c r="B43" s="9"/>
      <c r="C43" s="10"/>
      <c r="D43" s="9"/>
      <c r="E43" s="9"/>
      <c r="F43" s="11"/>
      <c r="G43" s="10"/>
      <c r="H43" s="13"/>
      <c r="I43" s="12"/>
    </row>
    <row r="44" spans="1:9" x14ac:dyDescent="0.2">
      <c r="A44" s="9"/>
      <c r="B44" s="9"/>
      <c r="C44" s="10"/>
      <c r="D44" s="9"/>
      <c r="E44" s="9"/>
      <c r="F44" s="11"/>
      <c r="G44" s="10"/>
      <c r="H44" s="13"/>
      <c r="I44" s="12"/>
    </row>
    <row r="45" spans="1:9" x14ac:dyDescent="0.2">
      <c r="A45" s="9"/>
      <c r="B45" s="9"/>
      <c r="C45" s="10"/>
      <c r="D45" s="9"/>
      <c r="E45" s="9"/>
      <c r="F45" s="11"/>
      <c r="G45" s="10"/>
      <c r="H45" s="13"/>
      <c r="I45" s="12"/>
    </row>
    <row r="46" spans="1:9" x14ac:dyDescent="0.2">
      <c r="A46" s="9"/>
      <c r="B46" s="9"/>
      <c r="C46" s="10"/>
      <c r="D46" s="9"/>
      <c r="E46" s="9"/>
      <c r="F46" s="11"/>
      <c r="G46" s="10"/>
      <c r="H46" s="13"/>
      <c r="I46" s="12"/>
    </row>
    <row r="47" spans="1:9" x14ac:dyDescent="0.2">
      <c r="A47" s="9"/>
      <c r="B47" s="9"/>
      <c r="C47" s="10"/>
      <c r="D47" s="9"/>
      <c r="E47" s="9"/>
      <c r="F47" s="11"/>
      <c r="G47" s="10"/>
      <c r="H47" s="13"/>
      <c r="I47" s="12"/>
    </row>
    <row r="48" spans="1:9" x14ac:dyDescent="0.2">
      <c r="A48" s="9"/>
      <c r="B48" s="9"/>
      <c r="C48" s="10"/>
      <c r="D48" s="9"/>
      <c r="E48" s="9"/>
      <c r="F48" s="11"/>
      <c r="G48" s="10"/>
      <c r="H48" s="13"/>
      <c r="I48" s="12"/>
    </row>
    <row r="49" spans="1:9" x14ac:dyDescent="0.2">
      <c r="A49" s="9"/>
      <c r="B49" s="9"/>
      <c r="C49" s="10"/>
      <c r="D49" s="9"/>
      <c r="E49" s="9"/>
      <c r="F49" s="11"/>
      <c r="G49" s="10"/>
      <c r="H49" s="13"/>
      <c r="I49" s="12"/>
    </row>
    <row r="50" spans="1:9" x14ac:dyDescent="0.2">
      <c r="A50" s="9"/>
      <c r="B50" s="9"/>
      <c r="C50" s="10"/>
      <c r="D50" s="9"/>
      <c r="E50" s="9"/>
      <c r="F50" s="11"/>
      <c r="G50" s="10"/>
      <c r="H50" s="13"/>
      <c r="I50" s="12"/>
    </row>
    <row r="51" spans="1:9" x14ac:dyDescent="0.2">
      <c r="A51" s="9"/>
      <c r="B51" s="9"/>
      <c r="C51" s="10"/>
      <c r="D51" s="9"/>
      <c r="E51" s="9"/>
      <c r="F51" s="11"/>
      <c r="G51" s="10"/>
      <c r="H51" s="13"/>
      <c r="I51" s="12"/>
    </row>
    <row r="52" spans="1:9" x14ac:dyDescent="0.2">
      <c r="A52" s="9"/>
      <c r="B52" s="9"/>
      <c r="C52" s="10"/>
      <c r="D52" s="9"/>
      <c r="E52" s="9"/>
      <c r="F52" s="11"/>
      <c r="G52" s="10"/>
      <c r="H52" s="13"/>
      <c r="I52" s="12"/>
    </row>
    <row r="53" spans="1:9" x14ac:dyDescent="0.2">
      <c r="A53" s="9"/>
      <c r="B53" s="9"/>
      <c r="C53" s="10"/>
      <c r="D53" s="9"/>
      <c r="E53" s="9"/>
      <c r="F53" s="11"/>
      <c r="G53" s="10"/>
      <c r="H53" s="13"/>
      <c r="I53" s="12"/>
    </row>
    <row r="54" spans="1:9" x14ac:dyDescent="0.2">
      <c r="A54" s="9"/>
      <c r="B54" s="9"/>
      <c r="C54" s="10"/>
      <c r="D54" s="9"/>
      <c r="E54" s="9"/>
      <c r="F54" s="11"/>
      <c r="G54" s="10"/>
      <c r="H54" s="13"/>
      <c r="I54" s="12"/>
    </row>
    <row r="55" spans="1:9" x14ac:dyDescent="0.2">
      <c r="A55" s="9"/>
      <c r="B55" s="9"/>
      <c r="C55" s="10"/>
      <c r="D55" s="9"/>
      <c r="E55" s="9"/>
      <c r="F55" s="11"/>
      <c r="G55" s="10"/>
      <c r="H55" s="13"/>
      <c r="I55" s="12"/>
    </row>
    <row r="56" spans="1:9" x14ac:dyDescent="0.2">
      <c r="A56" s="9"/>
      <c r="B56" s="9"/>
      <c r="C56" s="10"/>
      <c r="D56" s="9"/>
      <c r="E56" s="9"/>
      <c r="F56" s="11"/>
      <c r="G56" s="10"/>
      <c r="H56" s="13"/>
      <c r="I56" s="12"/>
    </row>
    <row r="57" spans="1:9" x14ac:dyDescent="0.2">
      <c r="A57" s="9"/>
      <c r="B57" s="9"/>
      <c r="C57" s="10"/>
      <c r="D57" s="9"/>
      <c r="E57" s="9"/>
      <c r="F57" s="11"/>
      <c r="G57" s="10"/>
      <c r="H57" s="13"/>
      <c r="I57" s="12"/>
    </row>
    <row r="58" spans="1:9" x14ac:dyDescent="0.2">
      <c r="A58" s="9"/>
      <c r="B58" s="9"/>
      <c r="C58" s="10"/>
      <c r="D58" s="9"/>
      <c r="E58" s="9"/>
      <c r="F58" s="11"/>
      <c r="G58" s="10"/>
      <c r="H58" s="13"/>
      <c r="I58" s="12"/>
    </row>
    <row r="59" spans="1:9" x14ac:dyDescent="0.2">
      <c r="A59" s="9"/>
      <c r="B59" s="9"/>
      <c r="C59" s="10"/>
      <c r="D59" s="9"/>
      <c r="E59" s="9"/>
      <c r="F59" s="11"/>
      <c r="G59" s="10"/>
      <c r="H59" s="13"/>
      <c r="I59" s="12"/>
    </row>
    <row r="60" spans="1:9" x14ac:dyDescent="0.2">
      <c r="A60" s="9"/>
      <c r="B60" s="9"/>
      <c r="C60" s="10"/>
      <c r="D60" s="9"/>
      <c r="E60" s="9"/>
      <c r="F60" s="11"/>
      <c r="G60" s="10"/>
      <c r="H60" s="13"/>
      <c r="I60" s="12"/>
    </row>
    <row r="61" spans="1:9" x14ac:dyDescent="0.2">
      <c r="A61" s="9"/>
      <c r="B61" s="9"/>
      <c r="C61" s="10"/>
      <c r="D61" s="9"/>
      <c r="E61" s="9"/>
      <c r="F61" s="11"/>
      <c r="G61" s="10"/>
      <c r="H61" s="13"/>
      <c r="I61" s="12"/>
    </row>
    <row r="62" spans="1:9" x14ac:dyDescent="0.2">
      <c r="A62" s="9"/>
      <c r="B62" s="9"/>
      <c r="C62" s="10"/>
      <c r="D62" s="9"/>
      <c r="E62" s="9"/>
      <c r="F62" s="11"/>
      <c r="G62" s="10"/>
      <c r="H62" s="13"/>
      <c r="I62" s="12"/>
    </row>
    <row r="63" spans="1:9" x14ac:dyDescent="0.2">
      <c r="A63" s="9"/>
      <c r="B63" s="9"/>
      <c r="C63" s="10"/>
      <c r="D63" s="9"/>
      <c r="E63" s="9"/>
      <c r="F63" s="11"/>
      <c r="G63" s="10"/>
      <c r="H63" s="13"/>
      <c r="I63" s="12"/>
    </row>
    <row r="64" spans="1:9" x14ac:dyDescent="0.2">
      <c r="A64" s="9"/>
      <c r="B64" s="9"/>
      <c r="C64" s="10"/>
      <c r="D64" s="9"/>
      <c r="E64" s="9"/>
      <c r="F64" s="11"/>
      <c r="G64" s="10"/>
      <c r="H64" s="13"/>
      <c r="I64" s="12"/>
    </row>
    <row r="65" spans="1:9" x14ac:dyDescent="0.2">
      <c r="A65" s="9"/>
      <c r="B65" s="9"/>
      <c r="C65" s="10"/>
      <c r="D65" s="9"/>
      <c r="E65" s="9"/>
      <c r="F65" s="11"/>
      <c r="G65" s="10"/>
      <c r="H65" s="13"/>
      <c r="I65" s="12"/>
    </row>
    <row r="66" spans="1:9" x14ac:dyDescent="0.2">
      <c r="A66" s="9"/>
      <c r="B66" s="9"/>
      <c r="C66" s="10"/>
      <c r="D66" s="9"/>
      <c r="E66" s="9"/>
      <c r="F66" s="11"/>
      <c r="G66" s="10"/>
      <c r="H66" s="13"/>
      <c r="I66" s="12"/>
    </row>
    <row r="67" spans="1:9" x14ac:dyDescent="0.2">
      <c r="A67" s="9"/>
      <c r="B67" s="9"/>
      <c r="C67" s="10"/>
      <c r="D67" s="9"/>
      <c r="E67" s="9"/>
      <c r="F67" s="11"/>
      <c r="G67" s="10"/>
      <c r="H67" s="13"/>
      <c r="I67" s="12"/>
    </row>
    <row r="68" spans="1:9" x14ac:dyDescent="0.2">
      <c r="A68" s="9"/>
      <c r="B68" s="9"/>
      <c r="C68" s="10"/>
      <c r="D68" s="9"/>
      <c r="E68" s="9"/>
      <c r="F68" s="11"/>
      <c r="G68" s="10"/>
      <c r="H68" s="13"/>
      <c r="I68" s="12"/>
    </row>
    <row r="69" spans="1:9" x14ac:dyDescent="0.2">
      <c r="A69" s="9"/>
      <c r="B69" s="9"/>
      <c r="C69" s="10"/>
      <c r="D69" s="9"/>
      <c r="E69" s="9"/>
      <c r="F69" s="11"/>
      <c r="G69" s="10"/>
      <c r="H69" s="13"/>
      <c r="I69" s="12"/>
    </row>
    <row r="70" spans="1:9" x14ac:dyDescent="0.2">
      <c r="A70" s="9"/>
      <c r="B70" s="9"/>
      <c r="C70" s="10"/>
      <c r="D70" s="9"/>
      <c r="E70" s="9"/>
      <c r="F70" s="11"/>
      <c r="G70" s="10"/>
      <c r="H70" s="13"/>
      <c r="I70" s="12"/>
    </row>
    <row r="71" spans="1:9" x14ac:dyDescent="0.2">
      <c r="A71" s="9"/>
      <c r="B71" s="9"/>
      <c r="C71" s="10"/>
      <c r="D71" s="9"/>
      <c r="E71" s="9"/>
      <c r="F71" s="11"/>
      <c r="G71" s="10"/>
      <c r="H71" s="13"/>
      <c r="I71" s="12"/>
    </row>
    <row r="72" spans="1:9" x14ac:dyDescent="0.2">
      <c r="A72" s="9"/>
      <c r="B72" s="9"/>
      <c r="C72" s="10"/>
      <c r="D72" s="9"/>
      <c r="E72" s="9"/>
      <c r="F72" s="11"/>
      <c r="G72" s="10"/>
      <c r="H72" s="13"/>
      <c r="I72" s="12"/>
    </row>
    <row r="73" spans="1:9" x14ac:dyDescent="0.2">
      <c r="A73" s="9"/>
      <c r="B73" s="9"/>
      <c r="C73" s="10"/>
      <c r="D73" s="9"/>
      <c r="E73" s="9"/>
      <c r="F73" s="11"/>
      <c r="G73" s="10"/>
      <c r="H73" s="13"/>
      <c r="I73" s="12"/>
    </row>
    <row r="74" spans="1:9" x14ac:dyDescent="0.2">
      <c r="A74" s="9"/>
      <c r="B74" s="9"/>
      <c r="C74" s="10"/>
      <c r="D74" s="9"/>
      <c r="E74" s="9"/>
      <c r="F74" s="11"/>
      <c r="G74" s="10"/>
      <c r="H74" s="13"/>
      <c r="I74" s="12"/>
    </row>
    <row r="75" spans="1:9" x14ac:dyDescent="0.2">
      <c r="A75" s="9"/>
      <c r="B75" s="9"/>
      <c r="C75" s="10"/>
      <c r="D75" s="9"/>
      <c r="E75" s="9"/>
      <c r="F75" s="11"/>
      <c r="G75" s="10"/>
      <c r="H75" s="13"/>
      <c r="I75" s="12"/>
    </row>
    <row r="76" spans="1:9" x14ac:dyDescent="0.2">
      <c r="A76" s="9"/>
      <c r="B76" s="9"/>
      <c r="C76" s="10"/>
      <c r="D76" s="9"/>
      <c r="E76" s="9"/>
      <c r="F76" s="11"/>
      <c r="G76" s="10"/>
      <c r="H76" s="13"/>
      <c r="I76" s="12"/>
    </row>
    <row r="77" spans="1:9" x14ac:dyDescent="0.2">
      <c r="A77" s="9"/>
      <c r="B77" s="9"/>
      <c r="C77" s="10"/>
      <c r="D77" s="9"/>
      <c r="E77" s="9"/>
      <c r="F77" s="11"/>
      <c r="G77" s="10"/>
      <c r="H77" s="13"/>
      <c r="I77" s="12"/>
    </row>
    <row r="78" spans="1:9" x14ac:dyDescent="0.2">
      <c r="A78" s="9"/>
      <c r="B78" s="9"/>
      <c r="C78" s="10"/>
      <c r="D78" s="9"/>
      <c r="E78" s="9"/>
      <c r="F78" s="11"/>
      <c r="G78" s="10"/>
      <c r="H78" s="13"/>
      <c r="I78" s="12"/>
    </row>
    <row r="79" spans="1:9" x14ac:dyDescent="0.2">
      <c r="A79" s="9"/>
      <c r="B79" s="9"/>
      <c r="C79" s="10"/>
      <c r="D79" s="9"/>
      <c r="E79" s="9"/>
      <c r="F79" s="11"/>
      <c r="G79" s="10"/>
      <c r="H79" s="13"/>
      <c r="I79" s="12"/>
    </row>
    <row r="80" spans="1:9" x14ac:dyDescent="0.2">
      <c r="A80" s="9"/>
      <c r="B80" s="9"/>
      <c r="C80" s="10"/>
      <c r="D80" s="9"/>
      <c r="E80" s="9"/>
      <c r="F80" s="11"/>
      <c r="G80" s="10"/>
      <c r="H80" s="13"/>
      <c r="I80" s="12"/>
    </row>
    <row r="81" spans="1:9" x14ac:dyDescent="0.2">
      <c r="A81" s="9"/>
      <c r="B81" s="9"/>
      <c r="C81" s="10"/>
      <c r="D81" s="9"/>
      <c r="E81" s="9"/>
      <c r="F81" s="11"/>
      <c r="G81" s="10"/>
      <c r="H81" s="13"/>
      <c r="I81" s="12"/>
    </row>
    <row r="82" spans="1:9" x14ac:dyDescent="0.2">
      <c r="A82" s="9"/>
      <c r="B82" s="9"/>
      <c r="C82" s="10"/>
      <c r="D82" s="9"/>
      <c r="E82" s="9"/>
      <c r="F82" s="11"/>
      <c r="G82" s="10"/>
      <c r="H82" s="13"/>
      <c r="I82" s="12"/>
    </row>
    <row r="83" spans="1:9" x14ac:dyDescent="0.2">
      <c r="A83" s="9"/>
      <c r="B83" s="9"/>
      <c r="C83" s="10"/>
      <c r="D83" s="9"/>
      <c r="E83" s="9"/>
      <c r="F83" s="11"/>
      <c r="G83" s="10"/>
      <c r="H83" s="13"/>
      <c r="I83" s="12"/>
    </row>
    <row r="84" spans="1:9" x14ac:dyDescent="0.2">
      <c r="A84" s="9"/>
      <c r="B84" s="9"/>
      <c r="C84" s="10"/>
      <c r="D84" s="9"/>
      <c r="E84" s="9"/>
      <c r="F84" s="11"/>
      <c r="G84" s="10"/>
      <c r="H84" s="13"/>
      <c r="I84" s="12"/>
    </row>
    <row r="85" spans="1:9" x14ac:dyDescent="0.2">
      <c r="A85" s="9"/>
      <c r="B85" s="9"/>
      <c r="C85" s="10"/>
      <c r="D85" s="9"/>
      <c r="E85" s="9"/>
      <c r="F85" s="11"/>
      <c r="G85" s="10"/>
      <c r="H85" s="13"/>
      <c r="I85" s="12"/>
    </row>
    <row r="86" spans="1:9" x14ac:dyDescent="0.2">
      <c r="A86" s="9"/>
      <c r="B86" s="9"/>
      <c r="C86" s="10"/>
      <c r="D86" s="9"/>
      <c r="E86" s="9"/>
      <c r="F86" s="11"/>
      <c r="G86" s="10"/>
      <c r="H86" s="13"/>
      <c r="I86" s="12"/>
    </row>
    <row r="87" spans="1:9" x14ac:dyDescent="0.2">
      <c r="A87" s="9"/>
      <c r="B87" s="9"/>
      <c r="C87" s="10"/>
      <c r="D87" s="9"/>
      <c r="E87" s="9"/>
      <c r="F87" s="11"/>
      <c r="G87" s="10"/>
      <c r="H87" s="13"/>
      <c r="I87" s="12"/>
    </row>
    <row r="88" spans="1:9" x14ac:dyDescent="0.2">
      <c r="A88" s="9"/>
      <c r="B88" s="9"/>
      <c r="C88" s="10"/>
      <c r="D88" s="9"/>
      <c r="E88" s="9"/>
      <c r="F88" s="11"/>
      <c r="G88" s="10"/>
      <c r="H88" s="13"/>
      <c r="I88" s="12"/>
    </row>
    <row r="89" spans="1:9" x14ac:dyDescent="0.2">
      <c r="A89" s="9"/>
      <c r="B89" s="9"/>
      <c r="C89" s="10"/>
      <c r="D89" s="9"/>
      <c r="E89" s="9"/>
      <c r="F89" s="11"/>
      <c r="G89" s="10"/>
      <c r="H89" s="13"/>
      <c r="I89" s="12"/>
    </row>
    <row r="90" spans="1:9" x14ac:dyDescent="0.2">
      <c r="A90" s="9"/>
      <c r="B90" s="9"/>
      <c r="C90" s="10"/>
      <c r="D90" s="9"/>
      <c r="E90" s="9"/>
      <c r="F90" s="11"/>
      <c r="G90" s="10"/>
      <c r="H90" s="13"/>
      <c r="I90" s="12"/>
    </row>
    <row r="91" spans="1:9" x14ac:dyDescent="0.2">
      <c r="A91" s="9"/>
      <c r="B91" s="9"/>
      <c r="C91" s="10"/>
      <c r="D91" s="9"/>
      <c r="E91" s="9"/>
      <c r="F91" s="11"/>
      <c r="G91" s="10"/>
      <c r="H91" s="13"/>
      <c r="I91" s="12"/>
    </row>
    <row r="92" spans="1:9" x14ac:dyDescent="0.2">
      <c r="A92" s="9"/>
      <c r="B92" s="9"/>
      <c r="C92" s="10"/>
      <c r="D92" s="9"/>
      <c r="E92" s="9"/>
      <c r="F92" s="11"/>
      <c r="G92" s="10"/>
      <c r="H92" s="13"/>
      <c r="I92" s="12"/>
    </row>
    <row r="93" spans="1:9" x14ac:dyDescent="0.2">
      <c r="A93" s="9"/>
      <c r="B93" s="9"/>
      <c r="C93" s="10"/>
      <c r="D93" s="9"/>
      <c r="E93" s="9"/>
      <c r="F93" s="11"/>
      <c r="G93" s="10"/>
      <c r="H93" s="13"/>
      <c r="I93" s="12"/>
    </row>
    <row r="94" spans="1:9" x14ac:dyDescent="0.2">
      <c r="A94" s="9"/>
      <c r="B94" s="9"/>
      <c r="C94" s="10"/>
      <c r="D94" s="9"/>
      <c r="E94" s="9"/>
      <c r="F94" s="11"/>
      <c r="G94" s="10"/>
      <c r="H94" s="13"/>
      <c r="I94" s="12"/>
    </row>
    <row r="95" spans="1:9" x14ac:dyDescent="0.2">
      <c r="A95" s="9"/>
      <c r="B95" s="9"/>
      <c r="C95" s="10"/>
      <c r="D95" s="9"/>
      <c r="E95" s="9"/>
      <c r="F95" s="11"/>
      <c r="G95" s="10"/>
      <c r="H95" s="13"/>
      <c r="I95" s="12"/>
    </row>
    <row r="96" spans="1:9" x14ac:dyDescent="0.2">
      <c r="A96" s="9"/>
      <c r="B96" s="9"/>
      <c r="C96" s="10"/>
      <c r="D96" s="9"/>
      <c r="E96" s="9"/>
      <c r="F96" s="11"/>
      <c r="G96" s="10"/>
      <c r="H96" s="13"/>
      <c r="I96" s="12"/>
    </row>
    <row r="97" spans="1:9" x14ac:dyDescent="0.2">
      <c r="A97" s="9"/>
      <c r="B97" s="9"/>
      <c r="C97" s="10"/>
      <c r="D97" s="9"/>
      <c r="E97" s="9"/>
      <c r="F97" s="11"/>
      <c r="G97" s="10"/>
      <c r="H97" s="13"/>
      <c r="I97" s="12"/>
    </row>
    <row r="98" spans="1:9" x14ac:dyDescent="0.2">
      <c r="A98" s="9"/>
      <c r="B98" s="9"/>
      <c r="C98" s="10"/>
      <c r="D98" s="9"/>
      <c r="E98" s="9"/>
      <c r="F98" s="11"/>
      <c r="G98" s="10"/>
      <c r="H98" s="13"/>
      <c r="I98" s="12"/>
    </row>
    <row r="99" spans="1:9" x14ac:dyDescent="0.2">
      <c r="A99" s="9"/>
      <c r="B99" s="9"/>
      <c r="C99" s="10"/>
      <c r="D99" s="9"/>
      <c r="E99" s="9"/>
      <c r="F99" s="11"/>
      <c r="G99" s="10"/>
      <c r="H99" s="13"/>
      <c r="I99" s="12"/>
    </row>
    <row r="100" spans="1:9" x14ac:dyDescent="0.2">
      <c r="A100" s="9"/>
      <c r="B100" s="9"/>
      <c r="C100" s="10"/>
      <c r="D100" s="9"/>
      <c r="E100" s="9"/>
      <c r="F100" s="11"/>
      <c r="G100" s="10"/>
      <c r="H100" s="13"/>
      <c r="I100" s="12"/>
    </row>
    <row r="101" spans="1:9" x14ac:dyDescent="0.2">
      <c r="A101" s="9"/>
      <c r="B101" s="9"/>
      <c r="C101" s="10"/>
      <c r="D101" s="9"/>
      <c r="E101" s="9"/>
      <c r="F101" s="11"/>
      <c r="G101" s="10"/>
      <c r="H101" s="13"/>
      <c r="I101" s="12"/>
    </row>
    <row r="102" spans="1:9" x14ac:dyDescent="0.2">
      <c r="A102" s="9"/>
      <c r="B102" s="9"/>
      <c r="C102" s="10"/>
      <c r="D102" s="9"/>
      <c r="E102" s="9"/>
      <c r="F102" s="11"/>
      <c r="G102" s="10"/>
      <c r="H102" s="13"/>
      <c r="I102" s="12"/>
    </row>
    <row r="103" spans="1:9" x14ac:dyDescent="0.2">
      <c r="A103" s="9"/>
      <c r="B103" s="9"/>
      <c r="C103" s="10"/>
      <c r="D103" s="9"/>
      <c r="E103" s="9"/>
      <c r="F103" s="11"/>
      <c r="G103" s="10"/>
      <c r="H103" s="13"/>
      <c r="I103" s="12"/>
    </row>
    <row r="104" spans="1:9" x14ac:dyDescent="0.2">
      <c r="A104" s="9"/>
      <c r="B104" s="9"/>
      <c r="C104" s="10"/>
      <c r="D104" s="9"/>
      <c r="E104" s="9"/>
      <c r="F104" s="11"/>
      <c r="G104" s="10"/>
      <c r="H104" s="13"/>
      <c r="I104" s="12"/>
    </row>
    <row r="105" spans="1:9" x14ac:dyDescent="0.2">
      <c r="A105" s="9"/>
      <c r="B105" s="9"/>
      <c r="C105" s="10"/>
      <c r="D105" s="9"/>
      <c r="E105" s="9"/>
      <c r="F105" s="11"/>
      <c r="G105" s="10"/>
      <c r="H105" s="13"/>
      <c r="I105" s="12"/>
    </row>
    <row r="106" spans="1:9" x14ac:dyDescent="0.2">
      <c r="A106" s="9"/>
      <c r="B106" s="9"/>
      <c r="C106" s="10"/>
      <c r="D106" s="9"/>
      <c r="E106" s="9"/>
      <c r="F106" s="11"/>
      <c r="G106" s="10"/>
      <c r="H106" s="13"/>
      <c r="I106" s="12"/>
    </row>
    <row r="107" spans="1:9" x14ac:dyDescent="0.2">
      <c r="A107" s="9"/>
      <c r="B107" s="9"/>
      <c r="C107" s="10"/>
      <c r="D107" s="9"/>
      <c r="E107" s="9"/>
      <c r="F107" s="11"/>
      <c r="G107" s="10"/>
      <c r="H107" s="13"/>
      <c r="I107" s="12"/>
    </row>
    <row r="108" spans="1:9" x14ac:dyDescent="0.2">
      <c r="A108" s="9"/>
      <c r="B108" s="9"/>
      <c r="C108" s="10"/>
      <c r="D108" s="9"/>
      <c r="E108" s="9"/>
      <c r="F108" s="11"/>
      <c r="G108" s="10"/>
      <c r="H108" s="13"/>
      <c r="I108" s="12"/>
    </row>
    <row r="109" spans="1:9" x14ac:dyDescent="0.2">
      <c r="A109" s="9"/>
      <c r="B109" s="9"/>
      <c r="C109" s="10"/>
      <c r="D109" s="9"/>
      <c r="E109" s="9"/>
      <c r="F109" s="11"/>
      <c r="G109" s="10"/>
      <c r="H109" s="13"/>
      <c r="I109" s="12"/>
    </row>
    <row r="110" spans="1:9" x14ac:dyDescent="0.2">
      <c r="A110" s="9"/>
      <c r="B110" s="9"/>
      <c r="C110" s="10"/>
      <c r="D110" s="9"/>
      <c r="E110" s="9"/>
      <c r="F110" s="11"/>
      <c r="G110" s="10"/>
      <c r="H110" s="13"/>
      <c r="I110" s="12"/>
    </row>
    <row r="111" spans="1:9" x14ac:dyDescent="0.2">
      <c r="A111" s="9"/>
      <c r="B111" s="9"/>
      <c r="C111" s="10"/>
      <c r="D111" s="9"/>
      <c r="E111" s="9"/>
      <c r="F111" s="11"/>
      <c r="G111" s="10"/>
      <c r="H111" s="13"/>
      <c r="I111" s="12"/>
    </row>
    <row r="112" spans="1:9" x14ac:dyDescent="0.2">
      <c r="A112" s="9"/>
      <c r="B112" s="9"/>
      <c r="C112" s="10"/>
      <c r="D112" s="9"/>
      <c r="E112" s="9"/>
      <c r="F112" s="11"/>
      <c r="G112" s="10"/>
      <c r="H112" s="13"/>
      <c r="I112" s="12"/>
    </row>
    <row r="113" spans="1:9" x14ac:dyDescent="0.2">
      <c r="A113" s="9"/>
      <c r="B113" s="9"/>
      <c r="C113" s="10"/>
      <c r="D113" s="9"/>
      <c r="E113" s="9"/>
      <c r="F113" s="11"/>
      <c r="G113" s="10"/>
      <c r="H113" s="13"/>
      <c r="I113" s="12"/>
    </row>
    <row r="114" spans="1:9" x14ac:dyDescent="0.2">
      <c r="A114" s="9"/>
      <c r="B114" s="9"/>
      <c r="C114" s="10"/>
      <c r="D114" s="9"/>
      <c r="E114" s="9"/>
      <c r="F114" s="11"/>
      <c r="G114" s="10"/>
      <c r="H114" s="13"/>
      <c r="I114" s="12"/>
    </row>
    <row r="115" spans="1:9" x14ac:dyDescent="0.2">
      <c r="A115" s="9"/>
      <c r="B115" s="9"/>
      <c r="C115" s="10"/>
      <c r="D115" s="9"/>
      <c r="E115" s="9"/>
      <c r="F115" s="11"/>
      <c r="G115" s="10"/>
      <c r="H115" s="13"/>
      <c r="I115" s="12"/>
    </row>
    <row r="116" spans="1:9" x14ac:dyDescent="0.2">
      <c r="A116" s="9"/>
      <c r="B116" s="9"/>
      <c r="C116" s="10"/>
      <c r="D116" s="9"/>
      <c r="E116" s="9"/>
      <c r="F116" s="11"/>
      <c r="G116" s="10"/>
      <c r="H116" s="13"/>
      <c r="I116" s="12"/>
    </row>
    <row r="117" spans="1:9" x14ac:dyDescent="0.2">
      <c r="A117" s="9"/>
      <c r="B117" s="9"/>
      <c r="C117" s="10"/>
      <c r="D117" s="9"/>
      <c r="E117" s="9"/>
      <c r="F117" s="11"/>
      <c r="G117" s="10"/>
      <c r="H117" s="13"/>
      <c r="I117" s="12"/>
    </row>
    <row r="118" spans="1:9" x14ac:dyDescent="0.2">
      <c r="A118" s="9"/>
      <c r="B118" s="9"/>
      <c r="C118" s="10"/>
      <c r="D118" s="9"/>
      <c r="E118" s="9"/>
      <c r="F118" s="11"/>
      <c r="G118" s="10"/>
      <c r="H118" s="13"/>
      <c r="I118" s="12"/>
    </row>
    <row r="119" spans="1:9" x14ac:dyDescent="0.2">
      <c r="A119" s="9"/>
      <c r="B119" s="9"/>
      <c r="C119" s="10"/>
      <c r="D119" s="9"/>
      <c r="E119" s="9"/>
      <c r="F119" s="11"/>
      <c r="G119" s="10"/>
      <c r="H119" s="13"/>
      <c r="I119" s="12"/>
    </row>
    <row r="120" spans="1:9" x14ac:dyDescent="0.2">
      <c r="A120" s="9"/>
      <c r="B120" s="9"/>
      <c r="C120" s="10"/>
      <c r="D120" s="9"/>
      <c r="E120" s="9"/>
      <c r="F120" s="11"/>
      <c r="G120" s="10"/>
      <c r="H120" s="13"/>
      <c r="I120" s="12"/>
    </row>
    <row r="121" spans="1:9" x14ac:dyDescent="0.2">
      <c r="A121" s="9"/>
      <c r="B121" s="9"/>
      <c r="C121" s="10"/>
      <c r="D121" s="9"/>
      <c r="E121" s="9"/>
      <c r="F121" s="11"/>
      <c r="G121" s="10"/>
      <c r="H121" s="13"/>
      <c r="I121" s="12"/>
    </row>
    <row r="122" spans="1:9" x14ac:dyDescent="0.2">
      <c r="A122" s="9"/>
      <c r="B122" s="9"/>
      <c r="C122" s="10"/>
      <c r="D122" s="9"/>
      <c r="E122" s="9"/>
      <c r="F122" s="11"/>
      <c r="G122" s="10"/>
      <c r="H122" s="13"/>
      <c r="I122" s="12"/>
    </row>
    <row r="123" spans="1:9" x14ac:dyDescent="0.2">
      <c r="A123" s="9"/>
      <c r="B123" s="9"/>
      <c r="C123" s="10"/>
      <c r="D123" s="9"/>
      <c r="E123" s="9"/>
      <c r="F123" s="11"/>
      <c r="G123" s="10"/>
      <c r="H123" s="13"/>
      <c r="I123" s="12"/>
    </row>
    <row r="124" spans="1:9" x14ac:dyDescent="0.2">
      <c r="A124" s="9"/>
      <c r="B124" s="9"/>
      <c r="C124" s="10"/>
      <c r="D124" s="9"/>
      <c r="E124" s="9"/>
      <c r="F124" s="11"/>
      <c r="G124" s="10"/>
      <c r="H124" s="13"/>
      <c r="I124" s="12"/>
    </row>
    <row r="125" spans="1:9" x14ac:dyDescent="0.2">
      <c r="A125" s="9"/>
      <c r="B125" s="9"/>
      <c r="C125" s="10"/>
      <c r="D125" s="9"/>
      <c r="E125" s="9"/>
      <c r="F125" s="11"/>
      <c r="G125" s="10"/>
      <c r="H125" s="13"/>
      <c r="I125" s="12"/>
    </row>
    <row r="126" spans="1:9" x14ac:dyDescent="0.2">
      <c r="A126" s="9"/>
      <c r="B126" s="9"/>
      <c r="C126" s="10"/>
      <c r="D126" s="9"/>
      <c r="E126" s="9"/>
      <c r="F126" s="11"/>
      <c r="G126" s="10"/>
      <c r="H126" s="13"/>
      <c r="I126" s="12"/>
    </row>
    <row r="127" spans="1:9" x14ac:dyDescent="0.2">
      <c r="A127" s="9"/>
      <c r="B127" s="9"/>
      <c r="C127" s="10"/>
      <c r="D127" s="9"/>
      <c r="E127" s="9"/>
      <c r="F127" s="11"/>
      <c r="G127" s="10"/>
      <c r="H127" s="13"/>
      <c r="I127" s="12"/>
    </row>
    <row r="128" spans="1:9" x14ac:dyDescent="0.2">
      <c r="A128" s="9"/>
      <c r="B128" s="9"/>
      <c r="C128" s="10"/>
      <c r="D128" s="9"/>
      <c r="E128" s="9"/>
      <c r="F128" s="11"/>
      <c r="G128" s="10"/>
      <c r="H128" s="13"/>
      <c r="I128" s="12"/>
    </row>
    <row r="129" spans="1:9" x14ac:dyDescent="0.2">
      <c r="A129" s="9"/>
      <c r="B129" s="9"/>
      <c r="C129" s="10"/>
      <c r="D129" s="9"/>
      <c r="E129" s="9"/>
      <c r="F129" s="11"/>
      <c r="G129" s="10"/>
      <c r="H129" s="13"/>
      <c r="I129" s="12"/>
    </row>
    <row r="130" spans="1:9" x14ac:dyDescent="0.2">
      <c r="A130" s="9"/>
      <c r="B130" s="9"/>
      <c r="C130" s="10"/>
      <c r="D130" s="9"/>
      <c r="E130" s="9"/>
      <c r="F130" s="11"/>
      <c r="G130" s="10"/>
      <c r="H130" s="13"/>
      <c r="I130" s="12"/>
    </row>
    <row r="131" spans="1:9" x14ac:dyDescent="0.2">
      <c r="A131" s="9"/>
      <c r="B131" s="9"/>
      <c r="C131" s="10"/>
      <c r="D131" s="9"/>
      <c r="E131" s="9"/>
      <c r="F131" s="11"/>
      <c r="G131" s="10"/>
      <c r="H131" s="13"/>
      <c r="I131" s="12"/>
    </row>
    <row r="132" spans="1:9" x14ac:dyDescent="0.2">
      <c r="A132" s="9"/>
      <c r="B132" s="9"/>
      <c r="C132" s="10"/>
      <c r="D132" s="9"/>
      <c r="E132" s="9"/>
      <c r="F132" s="11"/>
      <c r="G132" s="10"/>
      <c r="H132" s="13"/>
      <c r="I132" s="12"/>
    </row>
    <row r="133" spans="1:9" x14ac:dyDescent="0.2">
      <c r="A133" s="9"/>
      <c r="B133" s="9"/>
      <c r="C133" s="10"/>
      <c r="D133" s="9"/>
      <c r="E133" s="9"/>
      <c r="F133" s="11"/>
      <c r="G133" s="10"/>
      <c r="H133" s="13"/>
      <c r="I133" s="12"/>
    </row>
    <row r="134" spans="1:9" x14ac:dyDescent="0.2">
      <c r="A134" s="9"/>
      <c r="B134" s="9"/>
      <c r="C134" s="10"/>
      <c r="D134" s="9"/>
      <c r="E134" s="9"/>
      <c r="F134" s="11"/>
      <c r="G134" s="10"/>
      <c r="H134" s="13"/>
      <c r="I134" s="12"/>
    </row>
    <row r="135" spans="1:9" x14ac:dyDescent="0.2">
      <c r="A135" s="9"/>
      <c r="B135" s="9"/>
      <c r="C135" s="10"/>
      <c r="D135" s="9"/>
      <c r="E135" s="9"/>
      <c r="F135" s="11"/>
      <c r="G135" s="10"/>
      <c r="H135" s="13"/>
      <c r="I135" s="12"/>
    </row>
    <row r="136" spans="1:9" x14ac:dyDescent="0.2">
      <c r="A136" s="9"/>
      <c r="B136" s="9"/>
      <c r="C136" s="10"/>
      <c r="D136" s="9"/>
      <c r="E136" s="9"/>
      <c r="F136" s="11"/>
      <c r="G136" s="10"/>
      <c r="H136" s="13"/>
      <c r="I136" s="12"/>
    </row>
    <row r="137" spans="1:9" x14ac:dyDescent="0.2">
      <c r="A137" s="9"/>
      <c r="B137" s="9"/>
      <c r="C137" s="10"/>
      <c r="D137" s="9"/>
      <c r="E137" s="9"/>
      <c r="F137" s="11"/>
      <c r="G137" s="10"/>
      <c r="H137" s="13"/>
      <c r="I137" s="12"/>
    </row>
    <row r="138" spans="1:9" x14ac:dyDescent="0.2">
      <c r="A138" s="9"/>
      <c r="B138" s="9"/>
      <c r="C138" s="10"/>
      <c r="D138" s="9"/>
      <c r="E138" s="9"/>
      <c r="F138" s="11"/>
      <c r="G138" s="10"/>
      <c r="H138" s="13"/>
      <c r="I138" s="12"/>
    </row>
    <row r="139" spans="1:9" x14ac:dyDescent="0.2">
      <c r="A139" s="9"/>
      <c r="B139" s="9"/>
      <c r="C139" s="10"/>
      <c r="D139" s="9"/>
      <c r="E139" s="9"/>
      <c r="F139" s="11"/>
      <c r="G139" s="10"/>
      <c r="H139" s="13"/>
      <c r="I139" s="12"/>
    </row>
    <row r="140" spans="1:9" x14ac:dyDescent="0.2">
      <c r="A140" s="9"/>
      <c r="B140" s="9"/>
      <c r="C140" s="10"/>
      <c r="D140" s="9"/>
      <c r="E140" s="9"/>
      <c r="F140" s="11"/>
      <c r="G140" s="10"/>
      <c r="H140" s="13"/>
      <c r="I140" s="12"/>
    </row>
    <row r="141" spans="1:9" x14ac:dyDescent="0.2">
      <c r="A141" s="9"/>
      <c r="B141" s="9"/>
      <c r="C141" s="10"/>
      <c r="D141" s="9"/>
      <c r="E141" s="9"/>
      <c r="F141" s="11"/>
      <c r="G141" s="10"/>
      <c r="H141" s="13"/>
      <c r="I141" s="12"/>
    </row>
    <row r="142" spans="1:9" x14ac:dyDescent="0.2">
      <c r="A142" s="9"/>
      <c r="B142" s="9"/>
      <c r="C142" s="10"/>
      <c r="D142" s="9"/>
      <c r="E142" s="9"/>
      <c r="F142" s="11"/>
      <c r="G142" s="10"/>
      <c r="H142" s="13"/>
      <c r="I142" s="12"/>
    </row>
    <row r="143" spans="1:9" x14ac:dyDescent="0.2">
      <c r="A143" s="9"/>
      <c r="B143" s="9"/>
      <c r="C143" s="10"/>
      <c r="D143" s="9"/>
      <c r="E143" s="9"/>
      <c r="F143" s="11"/>
      <c r="G143" s="10"/>
      <c r="H143" s="13"/>
      <c r="I143" s="12"/>
    </row>
    <row r="144" spans="1:9" x14ac:dyDescent="0.2">
      <c r="A144" s="9"/>
      <c r="B144" s="9"/>
      <c r="C144" s="10"/>
      <c r="D144" s="9"/>
      <c r="E144" s="9"/>
      <c r="F144" s="11"/>
      <c r="G144" s="10"/>
      <c r="H144" s="13"/>
      <c r="I144" s="12"/>
    </row>
    <row r="145" spans="1:9" x14ac:dyDescent="0.2">
      <c r="A145" s="9"/>
      <c r="B145" s="9"/>
      <c r="C145" s="10"/>
      <c r="D145" s="9"/>
      <c r="E145" s="9"/>
      <c r="F145" s="11"/>
      <c r="G145" s="10"/>
      <c r="H145" s="13"/>
      <c r="I145" s="12"/>
    </row>
    <row r="146" spans="1:9" x14ac:dyDescent="0.2">
      <c r="A146" s="9"/>
      <c r="B146" s="9"/>
      <c r="C146" s="10"/>
      <c r="D146" s="9"/>
      <c r="E146" s="9"/>
      <c r="F146" s="11"/>
      <c r="G146" s="10"/>
      <c r="H146" s="13"/>
      <c r="I146" s="12"/>
    </row>
    <row r="147" spans="1:9" x14ac:dyDescent="0.2">
      <c r="F147" s="8"/>
    </row>
    <row r="148" spans="1:9" x14ac:dyDescent="0.2">
      <c r="F148" s="8"/>
    </row>
    <row r="149" spans="1:9" x14ac:dyDescent="0.2">
      <c r="F149" s="8"/>
    </row>
    <row r="150" spans="1:9" x14ac:dyDescent="0.2">
      <c r="F150" s="8"/>
    </row>
    <row r="151" spans="1:9" x14ac:dyDescent="0.2">
      <c r="F151" s="8"/>
    </row>
    <row r="152" spans="1:9" x14ac:dyDescent="0.2">
      <c r="F152" s="8"/>
    </row>
    <row r="153" spans="1:9" x14ac:dyDescent="0.2">
      <c r="F153" s="8"/>
    </row>
    <row r="154" spans="1:9" x14ac:dyDescent="0.2">
      <c r="F154" s="8"/>
    </row>
    <row r="155" spans="1:9" x14ac:dyDescent="0.2">
      <c r="F155" s="8"/>
    </row>
    <row r="156" spans="1:9" x14ac:dyDescent="0.2">
      <c r="F156" s="8"/>
    </row>
    <row r="157" spans="1:9" x14ac:dyDescent="0.2">
      <c r="F157" s="8"/>
    </row>
    <row r="158" spans="1:9" x14ac:dyDescent="0.2">
      <c r="F158" s="8"/>
    </row>
    <row r="159" spans="1:9" x14ac:dyDescent="0.2">
      <c r="F159" s="8"/>
    </row>
    <row r="160" spans="1:9" x14ac:dyDescent="0.2">
      <c r="F160" s="8"/>
    </row>
    <row r="161" spans="6:6" x14ac:dyDescent="0.2">
      <c r="F161" s="8"/>
    </row>
    <row r="162" spans="6:6" x14ac:dyDescent="0.2">
      <c r="F162" s="8"/>
    </row>
    <row r="163" spans="6:6" x14ac:dyDescent="0.2">
      <c r="F163" s="8"/>
    </row>
    <row r="164" spans="6:6" x14ac:dyDescent="0.2">
      <c r="F164" s="8"/>
    </row>
    <row r="165" spans="6:6" x14ac:dyDescent="0.2">
      <c r="F165" s="8"/>
    </row>
    <row r="166" spans="6:6" x14ac:dyDescent="0.2">
      <c r="F166" s="8"/>
    </row>
    <row r="167" spans="6:6" x14ac:dyDescent="0.2">
      <c r="F167" s="8"/>
    </row>
    <row r="168" spans="6:6" x14ac:dyDescent="0.2">
      <c r="F168" s="8"/>
    </row>
    <row r="169" spans="6:6" x14ac:dyDescent="0.2">
      <c r="F169" s="8"/>
    </row>
    <row r="170" spans="6:6" x14ac:dyDescent="0.2">
      <c r="F170" s="8"/>
    </row>
    <row r="171" spans="6:6" x14ac:dyDescent="0.2">
      <c r="F171" s="8"/>
    </row>
    <row r="172" spans="6:6" x14ac:dyDescent="0.2">
      <c r="F172" s="8"/>
    </row>
    <row r="173" spans="6:6" x14ac:dyDescent="0.2">
      <c r="F173" s="8"/>
    </row>
    <row r="174" spans="6:6" x14ac:dyDescent="0.2">
      <c r="F174" s="8"/>
    </row>
    <row r="175" spans="6:6" x14ac:dyDescent="0.2">
      <c r="F175" s="8"/>
    </row>
    <row r="176" spans="6:6" x14ac:dyDescent="0.2">
      <c r="F176" s="8"/>
    </row>
    <row r="177" spans="6:6" x14ac:dyDescent="0.2">
      <c r="F177" s="8"/>
    </row>
    <row r="178" spans="6:6" x14ac:dyDescent="0.2">
      <c r="F178" s="8"/>
    </row>
    <row r="179" spans="6:6" x14ac:dyDescent="0.2">
      <c r="F179" s="8"/>
    </row>
    <row r="180" spans="6:6" x14ac:dyDescent="0.2">
      <c r="F180" s="8"/>
    </row>
    <row r="181" spans="6:6" x14ac:dyDescent="0.2">
      <c r="F181" s="8"/>
    </row>
    <row r="182" spans="6:6" x14ac:dyDescent="0.2">
      <c r="F182" s="8"/>
    </row>
    <row r="183" spans="6:6" x14ac:dyDescent="0.2">
      <c r="F183" s="8"/>
    </row>
    <row r="184" spans="6:6" x14ac:dyDescent="0.2">
      <c r="F184" s="8"/>
    </row>
    <row r="185" spans="6:6" x14ac:dyDescent="0.2">
      <c r="F185" s="8"/>
    </row>
    <row r="186" spans="6:6" x14ac:dyDescent="0.2">
      <c r="F186" s="8"/>
    </row>
    <row r="187" spans="6:6" x14ac:dyDescent="0.2">
      <c r="F187" s="8"/>
    </row>
    <row r="188" spans="6:6" x14ac:dyDescent="0.2">
      <c r="F188" s="8"/>
    </row>
    <row r="189" spans="6:6" x14ac:dyDescent="0.2">
      <c r="F189" s="8"/>
    </row>
    <row r="190" spans="6:6" x14ac:dyDescent="0.2">
      <c r="F190" s="8"/>
    </row>
    <row r="191" spans="6:6" x14ac:dyDescent="0.2">
      <c r="F191" s="8"/>
    </row>
    <row r="192" spans="6:6" x14ac:dyDescent="0.2">
      <c r="F192" s="8"/>
    </row>
    <row r="193" spans="6:6" x14ac:dyDescent="0.2">
      <c r="F193" s="8"/>
    </row>
    <row r="194" spans="6:6" x14ac:dyDescent="0.2">
      <c r="F194" s="8"/>
    </row>
    <row r="195" spans="6:6" x14ac:dyDescent="0.2">
      <c r="F195" s="8"/>
    </row>
  </sheetData>
  <sheetProtection selectLockedCells="1"/>
  <mergeCells count="2">
    <mergeCell ref="A2:L2"/>
    <mergeCell ref="M4:O4"/>
  </mergeCells>
  <conditionalFormatting sqref="H32 A147:I1048576 H33:I146 A5:XFD5 A4:B4 D4:E4 L4:M4 H13:I31 A14:G146 C13:G13 A13 A1:XFD1 M6:XFD1048576 J13:L1048576 P4:XFD4 A6:L12">
    <cfRule type="expression" dxfId="96" priority="11">
      <formula>CELL("Schutz",A1)=0</formula>
    </cfRule>
  </conditionalFormatting>
  <conditionalFormatting sqref="I32">
    <cfRule type="expression" dxfId="95" priority="6">
      <formula>CELL("Schutz",I32)=0</formula>
    </cfRule>
  </conditionalFormatting>
  <conditionalFormatting sqref="A2 F3:XFD3 M2:XFD2">
    <cfRule type="expression" dxfId="94" priority="5">
      <formula>CELL("Schutz",A2)=0</formula>
    </cfRule>
  </conditionalFormatting>
  <conditionalFormatting sqref="F4:G4">
    <cfRule type="expression" dxfId="93" priority="4">
      <formula>CELL("Schutz",F4)=0</formula>
    </cfRule>
  </conditionalFormatting>
  <conditionalFormatting sqref="J5:J12">
    <cfRule type="cellIs" dxfId="92" priority="1" operator="greaterThan">
      <formula>1</formula>
    </cfRule>
    <cfRule type="cellIs" dxfId="91" priority="3" operator="greaterThan">
      <formula>1</formula>
    </cfRule>
  </conditionalFormatting>
  <conditionalFormatting sqref="I5:I12">
    <cfRule type="cellIs" dxfId="90" priority="2" operator="greaterThan">
      <formula>$C$5*$H$5</formula>
    </cfRule>
  </conditionalFormatting>
  <dataValidations count="1">
    <dataValidation type="list" allowBlank="1" showInputMessage="1" showErrorMessage="1" sqref="C13:C146" xr:uid="{1D193C88-56A8-45A1-8BD7-2DBAC3E871D6}">
      <formula1>#REF!</formula1>
    </dataValidation>
  </dataValidations>
  <pageMargins left="0.7" right="0.7" top="0.78740157499999996" bottom="0.78740157499999996" header="0.3" footer="0.3"/>
  <pageSetup paperSize="9" scale="94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DE46F-9835-4E4D-BDEC-5EF577EC1964}">
  <sheetPr>
    <tabColor rgb="FFFFC000"/>
  </sheetPr>
  <dimension ref="A1:N30"/>
  <sheetViews>
    <sheetView workbookViewId="0">
      <selection activeCell="L4" sqref="L4:N4"/>
    </sheetView>
  </sheetViews>
  <sheetFormatPr baseColWidth="10" defaultRowHeight="12.75" x14ac:dyDescent="0.2"/>
  <cols>
    <col min="1" max="1" width="20.28515625" bestFit="1" customWidth="1"/>
    <col min="2" max="2" width="13.42578125" bestFit="1" customWidth="1"/>
    <col min="3" max="3" width="12" customWidth="1"/>
    <col min="4" max="4" width="12.42578125" customWidth="1"/>
    <col min="6" max="6" width="11.7109375" bestFit="1" customWidth="1"/>
    <col min="7" max="7" width="13.85546875" customWidth="1"/>
    <col min="8" max="8" width="15.28515625" customWidth="1"/>
    <col min="10" max="10" width="12.42578125" customWidth="1"/>
    <col min="11" max="11" width="16.5703125" customWidth="1"/>
  </cols>
  <sheetData>
    <row r="1" spans="1:14" x14ac:dyDescent="0.2">
      <c r="A1" s="1"/>
      <c r="B1" s="3"/>
      <c r="C1" s="1"/>
      <c r="D1" s="1"/>
      <c r="E1" s="1"/>
      <c r="F1" s="1"/>
      <c r="G1" s="1"/>
      <c r="H1" s="1"/>
      <c r="I1" s="1"/>
      <c r="J1" s="1"/>
      <c r="K1" s="1"/>
    </row>
    <row r="2" spans="1:14" x14ac:dyDescent="0.2">
      <c r="A2" s="164" t="s">
        <v>26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1:14" x14ac:dyDescent="0.2">
      <c r="A3" s="103"/>
      <c r="B3" s="103"/>
      <c r="C3" s="103"/>
      <c r="D3" s="103"/>
      <c r="E3" s="103"/>
      <c r="F3" s="1"/>
      <c r="G3" s="1"/>
      <c r="H3" s="1"/>
      <c r="I3" s="1"/>
      <c r="J3" s="1"/>
      <c r="K3" s="1"/>
    </row>
    <row r="4" spans="1:14" ht="38.25" x14ac:dyDescent="0.2">
      <c r="A4" s="37" t="s">
        <v>27</v>
      </c>
      <c r="B4" s="37" t="s">
        <v>25</v>
      </c>
      <c r="C4" s="37" t="s">
        <v>28</v>
      </c>
      <c r="D4" s="37" t="s">
        <v>37</v>
      </c>
      <c r="E4" s="37" t="s">
        <v>57</v>
      </c>
      <c r="F4" s="37" t="s">
        <v>75</v>
      </c>
      <c r="G4" s="37" t="s">
        <v>31</v>
      </c>
      <c r="H4" s="37" t="s">
        <v>16</v>
      </c>
      <c r="I4" s="37" t="s">
        <v>4</v>
      </c>
      <c r="J4" s="37" t="s">
        <v>6</v>
      </c>
      <c r="K4" s="38" t="s">
        <v>14</v>
      </c>
      <c r="L4" s="177" t="s">
        <v>87</v>
      </c>
      <c r="M4" s="178"/>
      <c r="N4" s="178"/>
    </row>
    <row r="5" spans="1:14" x14ac:dyDescent="0.2">
      <c r="A5" s="1" t="s">
        <v>76</v>
      </c>
      <c r="B5" s="43">
        <v>5455454</v>
      </c>
      <c r="C5" s="1">
        <v>20</v>
      </c>
      <c r="D5" s="44">
        <v>45337</v>
      </c>
      <c r="E5" s="77">
        <f>IF(Tabelle39[[#This Row],[Abrechungsmonat]]&gt;0,ROUNDUP(MONTH(Tabelle39[[#This Row],[Abrechungsmonat]])/3,0),"0")</f>
        <v>1</v>
      </c>
      <c r="F5" s="108">
        <v>45292</v>
      </c>
      <c r="G5" s="1">
        <v>21</v>
      </c>
      <c r="H5" s="1">
        <v>395</v>
      </c>
      <c r="I5" s="45">
        <f>Tabelle39[[#This Row],[Belegungstage]]/(Tabelle39[[#This Row],[Öffnungstage]]*Tabelle39[[#This Row],[Plätze laut Versorgungsvertrag]])</f>
        <v>0.94047619047619047</v>
      </c>
      <c r="J5" s="8">
        <v>12</v>
      </c>
      <c r="K5" s="8">
        <f>Tabelle39[[#This Row],[Belegungstage]]*Tabelle39[[#This Row],[Tagesbetrag]]</f>
        <v>4740</v>
      </c>
    </row>
    <row r="6" spans="1:14" x14ac:dyDescent="0.2">
      <c r="A6" s="46" t="s">
        <v>77</v>
      </c>
      <c r="B6" s="43">
        <v>31534844</v>
      </c>
      <c r="C6" s="1">
        <v>30</v>
      </c>
      <c r="D6" s="44">
        <v>45338</v>
      </c>
      <c r="E6" s="77">
        <f>IF(Tabelle39[[#This Row],[Abrechungsmonat]]&gt;0,ROUNDUP(MONTH(Tabelle39[[#This Row],[Abrechungsmonat]])/3,0),"0")</f>
        <v>1</v>
      </c>
      <c r="F6" s="108">
        <v>45292</v>
      </c>
      <c r="G6" s="1">
        <v>20</v>
      </c>
      <c r="H6" s="1">
        <v>588</v>
      </c>
      <c r="I6" s="45">
        <f>Tabelle39[[#This Row],[Belegungstage]]/(Tabelle39[[#This Row],[Öffnungstage]]*Tabelle39[[#This Row],[Plätze laut Versorgungsvertrag]])</f>
        <v>0.98</v>
      </c>
      <c r="J6" s="8">
        <v>13.37</v>
      </c>
      <c r="K6" s="8">
        <f>Tabelle39[[#This Row],[Belegungstage]]*Tabelle39[[#This Row],[Tagesbetrag]]</f>
        <v>7861.5599999999995</v>
      </c>
    </row>
    <row r="7" spans="1:14" x14ac:dyDescent="0.2">
      <c r="A7" s="46" t="s">
        <v>78</v>
      </c>
      <c r="B7" s="43">
        <v>4646465454</v>
      </c>
      <c r="C7" s="1">
        <v>15</v>
      </c>
      <c r="D7" s="44">
        <v>45341</v>
      </c>
      <c r="E7" s="77">
        <f>IF(Tabelle39[[#This Row],[Abrechungsmonat]]&gt;0,ROUNDUP(MONTH(Tabelle39[[#This Row],[Abrechungsmonat]])/3,0),"0")</f>
        <v>1</v>
      </c>
      <c r="F7" s="108">
        <v>45292</v>
      </c>
      <c r="G7" s="1">
        <v>19</v>
      </c>
      <c r="H7" s="1">
        <v>274</v>
      </c>
      <c r="I7" s="45">
        <f>Tabelle39[[#This Row],[Belegungstage]]/(Tabelle39[[#This Row],[Öffnungstage]]*Tabelle39[[#This Row],[Plätze laut Versorgungsvertrag]])</f>
        <v>0.96140350877192982</v>
      </c>
      <c r="J7" s="8">
        <v>9.59</v>
      </c>
      <c r="K7" s="8">
        <f>Tabelle39[[#This Row],[Belegungstage]]*Tabelle39[[#This Row],[Tagesbetrag]]</f>
        <v>2627.66</v>
      </c>
    </row>
    <row r="8" spans="1:14" x14ac:dyDescent="0.2">
      <c r="A8" s="46" t="s">
        <v>79</v>
      </c>
      <c r="B8" s="43">
        <v>8644543</v>
      </c>
      <c r="C8" s="1">
        <v>30</v>
      </c>
      <c r="D8" s="44">
        <v>45342</v>
      </c>
      <c r="E8" s="77">
        <f>IF(Tabelle39[[#This Row],[Abrechungsmonat]]&gt;0,ROUNDUP(MONTH(Tabelle39[[#This Row],[Abrechungsmonat]])/3,0),"0")</f>
        <v>1</v>
      </c>
      <c r="F8" s="108">
        <v>45292</v>
      </c>
      <c r="G8" s="1">
        <v>21</v>
      </c>
      <c r="H8" s="1">
        <v>555</v>
      </c>
      <c r="I8" s="45">
        <f>Tabelle39[[#This Row],[Belegungstage]]/(Tabelle39[[#This Row],[Öffnungstage]]*Tabelle39[[#This Row],[Plätze laut Versorgungsvertrag]])</f>
        <v>0.88095238095238093</v>
      </c>
      <c r="J8" s="8">
        <v>12.5</v>
      </c>
      <c r="K8" s="8">
        <f>Tabelle39[[#This Row],[Belegungstage]]*Tabelle39[[#This Row],[Tagesbetrag]]</f>
        <v>6937.5</v>
      </c>
    </row>
    <row r="9" spans="1:14" x14ac:dyDescent="0.2">
      <c r="A9" s="46" t="s">
        <v>80</v>
      </c>
      <c r="B9" s="43">
        <v>64864446</v>
      </c>
      <c r="C9" s="1">
        <v>15</v>
      </c>
      <c r="D9" s="44">
        <v>45344</v>
      </c>
      <c r="E9" s="77">
        <f>IF(Tabelle39[[#This Row],[Abrechungsmonat]]&gt;0,ROUNDUP(MONTH(Tabelle39[[#This Row],[Abrechungsmonat]])/3,0),"0")</f>
        <v>1</v>
      </c>
      <c r="F9" s="108">
        <v>45292</v>
      </c>
      <c r="G9" s="1">
        <v>22</v>
      </c>
      <c r="H9" s="1">
        <v>268</v>
      </c>
      <c r="I9" s="45">
        <f>Tabelle39[[#This Row],[Belegungstage]]/(Tabelle39[[#This Row],[Öffnungstage]]*Tabelle39[[#This Row],[Plätze laut Versorgungsvertrag]])</f>
        <v>0.81212121212121213</v>
      </c>
      <c r="J9" s="8">
        <v>8.15</v>
      </c>
      <c r="K9" s="8">
        <f>Tabelle39[[#This Row],[Belegungstage]]*Tabelle39[[#This Row],[Tagesbetrag]]</f>
        <v>2184.2000000000003</v>
      </c>
    </row>
    <row r="10" spans="1:14" x14ac:dyDescent="0.2">
      <c r="A10" s="46" t="s">
        <v>81</v>
      </c>
      <c r="B10" s="43">
        <v>6788456</v>
      </c>
      <c r="C10" s="1">
        <v>30</v>
      </c>
      <c r="D10" s="44">
        <v>45363</v>
      </c>
      <c r="E10" s="77">
        <f>IF(Tabelle39[[#This Row],[Abrechungsmonat]]&gt;0,ROUNDUP(MONTH(Tabelle39[[#This Row],[Abrechungsmonat]])/3,0),"0")</f>
        <v>1</v>
      </c>
      <c r="F10" s="108">
        <v>45292</v>
      </c>
      <c r="G10" s="1">
        <v>21</v>
      </c>
      <c r="H10" s="1">
        <v>420</v>
      </c>
      <c r="I10" s="45">
        <f>Tabelle39[[#This Row],[Belegungstage]]/(Tabelle39[[#This Row],[Öffnungstage]]*Tabelle39[[#This Row],[Plätze laut Versorgungsvertrag]])</f>
        <v>0.66666666666666663</v>
      </c>
      <c r="J10" s="8">
        <v>10</v>
      </c>
      <c r="K10" s="8">
        <f>Tabelle39[[#This Row],[Belegungstage]]*Tabelle39[[#This Row],[Tagesbetrag]]</f>
        <v>4200</v>
      </c>
    </row>
    <row r="11" spans="1:14" x14ac:dyDescent="0.2">
      <c r="A11" s="1" t="s">
        <v>76</v>
      </c>
      <c r="B11" s="43">
        <v>5455454</v>
      </c>
      <c r="C11" s="1">
        <v>20</v>
      </c>
      <c r="D11" s="44">
        <v>45366</v>
      </c>
      <c r="E11" s="77">
        <f>IF(Tabelle39[[#This Row],[Abrechungsmonat]]&gt;0,ROUNDUP(MONTH(Tabelle39[[#This Row],[Abrechungsmonat]])/3,0),"0")</f>
        <v>1</v>
      </c>
      <c r="F11" s="109">
        <v>45323</v>
      </c>
      <c r="G11" s="1">
        <v>21</v>
      </c>
      <c r="H11" s="1">
        <v>395</v>
      </c>
      <c r="I11" s="45">
        <f>Tabelle39[[#This Row],[Belegungstage]]/(Tabelle39[[#This Row],[Öffnungstage]]*Tabelle39[[#This Row],[Plätze laut Versorgungsvertrag]])</f>
        <v>0.94047619047619047</v>
      </c>
      <c r="J11" s="8">
        <v>12</v>
      </c>
      <c r="K11" s="8">
        <f>Tabelle39[[#This Row],[Belegungstage]]*Tabelle39[[#This Row],[Tagesbetrag]]</f>
        <v>4740</v>
      </c>
    </row>
    <row r="12" spans="1:14" x14ac:dyDescent="0.2">
      <c r="A12" s="46" t="s">
        <v>77</v>
      </c>
      <c r="B12" s="43">
        <v>31534844</v>
      </c>
      <c r="C12" s="1">
        <v>30</v>
      </c>
      <c r="D12" s="44">
        <v>45367</v>
      </c>
      <c r="E12" s="77">
        <f>IF(Tabelle39[[#This Row],[Abrechungsmonat]]&gt;0,ROUNDUP(MONTH(Tabelle39[[#This Row],[Abrechungsmonat]])/3,0),"0")</f>
        <v>1</v>
      </c>
      <c r="F12" s="109">
        <v>45323</v>
      </c>
      <c r="G12" s="1">
        <v>20</v>
      </c>
      <c r="H12" s="1">
        <v>588</v>
      </c>
      <c r="I12" s="45">
        <f>Tabelle39[[#This Row],[Belegungstage]]/(Tabelle39[[#This Row],[Öffnungstage]]*Tabelle39[[#This Row],[Plätze laut Versorgungsvertrag]])</f>
        <v>0.98</v>
      </c>
      <c r="J12" s="8">
        <v>13.37</v>
      </c>
      <c r="K12" s="8">
        <f>Tabelle39[[#This Row],[Belegungstage]]*Tabelle39[[#This Row],[Tagesbetrag]]</f>
        <v>7861.5599999999995</v>
      </c>
    </row>
    <row r="13" spans="1:14" x14ac:dyDescent="0.2">
      <c r="A13" s="46" t="s">
        <v>78</v>
      </c>
      <c r="B13" s="43">
        <v>4646465454</v>
      </c>
      <c r="C13" s="1">
        <v>15</v>
      </c>
      <c r="D13" s="44">
        <v>45370</v>
      </c>
      <c r="E13" s="77">
        <f>IF(Tabelle39[[#This Row],[Abrechungsmonat]]&gt;0,ROUNDUP(MONTH(Tabelle39[[#This Row],[Abrechungsmonat]])/3,0),"0")</f>
        <v>1</v>
      </c>
      <c r="F13" s="109">
        <v>45323</v>
      </c>
      <c r="G13" s="1">
        <v>19</v>
      </c>
      <c r="H13" s="1">
        <v>274</v>
      </c>
      <c r="I13" s="45">
        <f>Tabelle39[[#This Row],[Belegungstage]]/(Tabelle39[[#This Row],[Öffnungstage]]*Tabelle39[[#This Row],[Plätze laut Versorgungsvertrag]])</f>
        <v>0.96140350877192982</v>
      </c>
      <c r="J13" s="8">
        <v>9.59</v>
      </c>
      <c r="K13" s="8">
        <f>Tabelle39[[#This Row],[Belegungstage]]*Tabelle39[[#This Row],[Tagesbetrag]]</f>
        <v>2627.66</v>
      </c>
    </row>
    <row r="14" spans="1:14" x14ac:dyDescent="0.2">
      <c r="A14" s="46" t="s">
        <v>79</v>
      </c>
      <c r="B14" s="43">
        <v>8644543</v>
      </c>
      <c r="C14" s="1">
        <v>30</v>
      </c>
      <c r="D14" s="44">
        <v>45371</v>
      </c>
      <c r="E14" s="77">
        <f>IF(Tabelle39[[#This Row],[Abrechungsmonat]]&gt;0,ROUNDUP(MONTH(Tabelle39[[#This Row],[Abrechungsmonat]])/3,0),"0")</f>
        <v>1</v>
      </c>
      <c r="F14" s="109">
        <v>45323</v>
      </c>
      <c r="G14" s="1">
        <v>21</v>
      </c>
      <c r="H14" s="1">
        <v>555</v>
      </c>
      <c r="I14" s="45">
        <f>Tabelle39[[#This Row],[Belegungstage]]/(Tabelle39[[#This Row],[Öffnungstage]]*Tabelle39[[#This Row],[Plätze laut Versorgungsvertrag]])</f>
        <v>0.88095238095238093</v>
      </c>
      <c r="J14" s="8">
        <v>12.5</v>
      </c>
      <c r="K14" s="8">
        <f>Tabelle39[[#This Row],[Belegungstage]]*Tabelle39[[#This Row],[Tagesbetrag]]</f>
        <v>6937.5</v>
      </c>
    </row>
    <row r="15" spans="1:14" x14ac:dyDescent="0.2">
      <c r="A15" s="46" t="s">
        <v>80</v>
      </c>
      <c r="B15" s="43">
        <v>64864446</v>
      </c>
      <c r="C15" s="1">
        <v>15</v>
      </c>
      <c r="D15" s="44">
        <v>45373</v>
      </c>
      <c r="E15" s="77">
        <f>IF(Tabelle39[[#This Row],[Abrechungsmonat]]&gt;0,ROUNDUP(MONTH(Tabelle39[[#This Row],[Abrechungsmonat]])/3,0),"0")</f>
        <v>1</v>
      </c>
      <c r="F15" s="109">
        <v>45323</v>
      </c>
      <c r="G15" s="1">
        <v>22</v>
      </c>
      <c r="H15" s="1">
        <v>268</v>
      </c>
      <c r="I15" s="45">
        <f>Tabelle39[[#This Row],[Belegungstage]]/(Tabelle39[[#This Row],[Öffnungstage]]*Tabelle39[[#This Row],[Plätze laut Versorgungsvertrag]])</f>
        <v>0.81212121212121213</v>
      </c>
      <c r="J15" s="8">
        <v>8.15</v>
      </c>
      <c r="K15" s="8">
        <f>Tabelle39[[#This Row],[Belegungstage]]*Tabelle39[[#This Row],[Tagesbetrag]]</f>
        <v>2184.2000000000003</v>
      </c>
    </row>
    <row r="16" spans="1:14" x14ac:dyDescent="0.2">
      <c r="A16" s="46" t="s">
        <v>81</v>
      </c>
      <c r="B16" s="43">
        <v>6788456</v>
      </c>
      <c r="C16" s="1">
        <v>30</v>
      </c>
      <c r="D16" s="44">
        <v>45394</v>
      </c>
      <c r="E16" s="77">
        <f>IF(Tabelle39[[#This Row],[Abrechungsmonat]]&gt;0,ROUNDUP(MONTH(Tabelle39[[#This Row],[Abrechungsmonat]])/3,0),"0")</f>
        <v>1</v>
      </c>
      <c r="F16" s="109">
        <v>45352</v>
      </c>
      <c r="G16" s="1">
        <v>21</v>
      </c>
      <c r="H16" s="1">
        <v>420</v>
      </c>
      <c r="I16" s="45">
        <f>Tabelle39[[#This Row],[Belegungstage]]/(Tabelle39[[#This Row],[Öffnungstage]]*Tabelle39[[#This Row],[Plätze laut Versorgungsvertrag]])</f>
        <v>0.66666666666666663</v>
      </c>
      <c r="J16" s="8">
        <v>10</v>
      </c>
      <c r="K16" s="8">
        <f>Tabelle39[[#This Row],[Belegungstage]]*Tabelle39[[#This Row],[Tagesbetrag]]</f>
        <v>4200</v>
      </c>
    </row>
    <row r="17" spans="1:11" x14ac:dyDescent="0.2">
      <c r="A17" s="1" t="s">
        <v>76</v>
      </c>
      <c r="B17" s="43">
        <v>5455454</v>
      </c>
      <c r="C17" s="1">
        <v>20</v>
      </c>
      <c r="D17" s="44">
        <v>45397</v>
      </c>
      <c r="E17" s="77">
        <f>IF(Tabelle39[[#This Row],[Abrechungsmonat]]&gt;0,ROUNDUP(MONTH(Tabelle39[[#This Row],[Abrechungsmonat]])/3,0),"0")</f>
        <v>1</v>
      </c>
      <c r="F17" s="109">
        <v>45352</v>
      </c>
      <c r="G17" s="1">
        <v>21</v>
      </c>
      <c r="H17" s="1">
        <v>395</v>
      </c>
      <c r="I17" s="45">
        <f>Tabelle39[[#This Row],[Belegungstage]]/(Tabelle39[[#This Row],[Öffnungstage]]*Tabelle39[[#This Row],[Plätze laut Versorgungsvertrag]])</f>
        <v>0.94047619047619047</v>
      </c>
      <c r="J17" s="8">
        <v>12</v>
      </c>
      <c r="K17" s="8">
        <f>Tabelle39[[#This Row],[Belegungstage]]*Tabelle39[[#This Row],[Tagesbetrag]]</f>
        <v>4740</v>
      </c>
    </row>
    <row r="18" spans="1:11" x14ac:dyDescent="0.2">
      <c r="A18" s="46" t="s">
        <v>77</v>
      </c>
      <c r="B18" s="43">
        <v>31534844</v>
      </c>
      <c r="C18" s="1">
        <v>30</v>
      </c>
      <c r="D18" s="44">
        <v>45398</v>
      </c>
      <c r="E18" s="77">
        <f>IF(Tabelle39[[#This Row],[Abrechungsmonat]]&gt;0,ROUNDUP(MONTH(Tabelle39[[#This Row],[Abrechungsmonat]])/3,0),"0")</f>
        <v>1</v>
      </c>
      <c r="F18" s="109">
        <v>45352</v>
      </c>
      <c r="G18" s="1">
        <v>20</v>
      </c>
      <c r="H18" s="1">
        <v>588</v>
      </c>
      <c r="I18" s="45">
        <f>Tabelle39[[#This Row],[Belegungstage]]/(Tabelle39[[#This Row],[Öffnungstage]]*Tabelle39[[#This Row],[Plätze laut Versorgungsvertrag]])</f>
        <v>0.98</v>
      </c>
      <c r="J18" s="8">
        <v>13.37</v>
      </c>
      <c r="K18" s="8">
        <f>Tabelle39[[#This Row],[Belegungstage]]*Tabelle39[[#This Row],[Tagesbetrag]]</f>
        <v>7861.5599999999995</v>
      </c>
    </row>
    <row r="19" spans="1:11" x14ac:dyDescent="0.2">
      <c r="A19" s="46" t="s">
        <v>78</v>
      </c>
      <c r="B19" s="43">
        <v>4646465454</v>
      </c>
      <c r="C19" s="1">
        <v>15</v>
      </c>
      <c r="D19" s="44">
        <v>45401</v>
      </c>
      <c r="E19" s="77">
        <f>IF(Tabelle39[[#This Row],[Abrechungsmonat]]&gt;0,ROUNDUP(MONTH(Tabelle39[[#This Row],[Abrechungsmonat]])/3,0),"0")</f>
        <v>1</v>
      </c>
      <c r="F19" s="109">
        <v>45352</v>
      </c>
      <c r="G19" s="1">
        <v>19</v>
      </c>
      <c r="H19" s="1">
        <v>274</v>
      </c>
      <c r="I19" s="45">
        <f>Tabelle39[[#This Row],[Belegungstage]]/(Tabelle39[[#This Row],[Öffnungstage]]*Tabelle39[[#This Row],[Plätze laut Versorgungsvertrag]])</f>
        <v>0.96140350877192982</v>
      </c>
      <c r="J19" s="8">
        <v>9.59</v>
      </c>
      <c r="K19" s="8">
        <f>Tabelle39[[#This Row],[Belegungstage]]*Tabelle39[[#This Row],[Tagesbetrag]]</f>
        <v>2627.66</v>
      </c>
    </row>
    <row r="20" spans="1:11" x14ac:dyDescent="0.2">
      <c r="A20" s="46" t="s">
        <v>79</v>
      </c>
      <c r="B20" s="43">
        <v>8644543</v>
      </c>
      <c r="C20" s="1">
        <v>30</v>
      </c>
      <c r="D20" s="44">
        <v>45402</v>
      </c>
      <c r="E20" s="77">
        <f>IF(Tabelle39[[#This Row],[Abrechungsmonat]]&gt;0,ROUNDUP(MONTH(Tabelle39[[#This Row],[Abrechungsmonat]])/3,0),"0")</f>
        <v>1</v>
      </c>
      <c r="F20" s="109">
        <v>45352</v>
      </c>
      <c r="G20" s="1">
        <v>21</v>
      </c>
      <c r="H20" s="1">
        <v>555</v>
      </c>
      <c r="I20" s="45">
        <f>Tabelle39[[#This Row],[Belegungstage]]/(Tabelle39[[#This Row],[Öffnungstage]]*Tabelle39[[#This Row],[Plätze laut Versorgungsvertrag]])</f>
        <v>0.88095238095238093</v>
      </c>
      <c r="J20" s="8">
        <v>12.5</v>
      </c>
      <c r="K20" s="8">
        <f>Tabelle39[[#This Row],[Belegungstage]]*Tabelle39[[#This Row],[Tagesbetrag]]</f>
        <v>6937.5</v>
      </c>
    </row>
    <row r="21" spans="1:11" x14ac:dyDescent="0.2">
      <c r="A21" s="46" t="s">
        <v>80</v>
      </c>
      <c r="B21" s="43">
        <v>64864446</v>
      </c>
      <c r="C21" s="1">
        <v>15</v>
      </c>
      <c r="D21" s="44">
        <v>45404</v>
      </c>
      <c r="E21" s="77">
        <f>IF(Tabelle39[[#This Row],[Abrechungsmonat]]&gt;0,ROUNDUP(MONTH(Tabelle39[[#This Row],[Abrechungsmonat]])/3,0),"0")</f>
        <v>1</v>
      </c>
      <c r="F21" s="109">
        <v>45352</v>
      </c>
      <c r="G21" s="1">
        <v>22</v>
      </c>
      <c r="H21" s="1">
        <v>268</v>
      </c>
      <c r="I21" s="45">
        <f>Tabelle39[[#This Row],[Belegungstage]]/(Tabelle39[[#This Row],[Öffnungstage]]*Tabelle39[[#This Row],[Plätze laut Versorgungsvertrag]])</f>
        <v>0.81212121212121213</v>
      </c>
      <c r="J21" s="8">
        <v>8.15</v>
      </c>
      <c r="K21" s="8">
        <f>Tabelle39[[#This Row],[Belegungstage]]*Tabelle39[[#This Row],[Tagesbetrag]]</f>
        <v>2184.2000000000003</v>
      </c>
    </row>
    <row r="22" spans="1:11" x14ac:dyDescent="0.2">
      <c r="A22" s="46" t="s">
        <v>81</v>
      </c>
      <c r="B22" s="43">
        <v>6788456</v>
      </c>
      <c r="C22" s="1">
        <v>30</v>
      </c>
      <c r="D22" s="44">
        <v>45424</v>
      </c>
      <c r="E22" s="77">
        <f>IF(Tabelle39[[#This Row],[Abrechungsmonat]]&gt;0,ROUNDUP(MONTH(Tabelle39[[#This Row],[Abrechungsmonat]])/3,0),"0")</f>
        <v>2</v>
      </c>
      <c r="F22" s="109">
        <v>45383</v>
      </c>
      <c r="G22" s="1">
        <v>21</v>
      </c>
      <c r="H22" s="1">
        <v>420</v>
      </c>
      <c r="I22" s="45">
        <f>Tabelle39[[#This Row],[Belegungstage]]/(Tabelle39[[#This Row],[Öffnungstage]]*Tabelle39[[#This Row],[Plätze laut Versorgungsvertrag]])</f>
        <v>0.66666666666666663</v>
      </c>
      <c r="J22" s="8">
        <v>10</v>
      </c>
      <c r="K22" s="8">
        <f>Tabelle39[[#This Row],[Belegungstage]]*Tabelle39[[#This Row],[Tagesbetrag]]</f>
        <v>4200</v>
      </c>
    </row>
    <row r="23" spans="1:11" x14ac:dyDescent="0.2">
      <c r="A23" s="1" t="s">
        <v>76</v>
      </c>
      <c r="B23" s="43">
        <v>5455454</v>
      </c>
      <c r="C23" s="1">
        <v>20</v>
      </c>
      <c r="D23" s="44">
        <v>45427</v>
      </c>
      <c r="E23" s="77">
        <f>IF(Tabelle39[[#This Row],[Abrechungsmonat]]&gt;0,ROUNDUP(MONTH(Tabelle39[[#This Row],[Abrechungsmonat]])/3,0),"0")</f>
        <v>2</v>
      </c>
      <c r="F23" s="109">
        <v>45383</v>
      </c>
      <c r="G23" s="1">
        <v>21</v>
      </c>
      <c r="H23" s="1">
        <v>395</v>
      </c>
      <c r="I23" s="45">
        <f>Tabelle39[[#This Row],[Belegungstage]]/(Tabelle39[[#This Row],[Öffnungstage]]*Tabelle39[[#This Row],[Plätze laut Versorgungsvertrag]])</f>
        <v>0.94047619047619047</v>
      </c>
      <c r="J23" s="8">
        <v>12</v>
      </c>
      <c r="K23" s="8">
        <f>Tabelle39[[#This Row],[Belegungstage]]*Tabelle39[[#This Row],[Tagesbetrag]]</f>
        <v>4740</v>
      </c>
    </row>
    <row r="24" spans="1:11" x14ac:dyDescent="0.2">
      <c r="A24" s="46" t="s">
        <v>77</v>
      </c>
      <c r="B24" s="43">
        <v>31534844</v>
      </c>
      <c r="C24" s="1">
        <v>30</v>
      </c>
      <c r="D24" s="44">
        <v>45428</v>
      </c>
      <c r="E24" s="77">
        <f>IF(Tabelle39[[#This Row],[Abrechungsmonat]]&gt;0,ROUNDUP(MONTH(Tabelle39[[#This Row],[Abrechungsmonat]])/3,0),"0")</f>
        <v>2</v>
      </c>
      <c r="F24" s="109">
        <v>45383</v>
      </c>
      <c r="G24" s="1">
        <v>20</v>
      </c>
      <c r="H24" s="1">
        <v>588</v>
      </c>
      <c r="I24" s="45">
        <f>Tabelle39[[#This Row],[Belegungstage]]/(Tabelle39[[#This Row],[Öffnungstage]]*Tabelle39[[#This Row],[Plätze laut Versorgungsvertrag]])</f>
        <v>0.98</v>
      </c>
      <c r="J24" s="8">
        <v>13.37</v>
      </c>
      <c r="K24" s="8">
        <f>Tabelle39[[#This Row],[Belegungstage]]*Tabelle39[[#This Row],[Tagesbetrag]]</f>
        <v>7861.5599999999995</v>
      </c>
    </row>
    <row r="25" spans="1:11" x14ac:dyDescent="0.2">
      <c r="A25" s="46" t="s">
        <v>78</v>
      </c>
      <c r="B25" s="43">
        <v>4646465454</v>
      </c>
      <c r="C25" s="1">
        <v>15</v>
      </c>
      <c r="D25" s="44">
        <v>45431</v>
      </c>
      <c r="E25" s="77">
        <f>IF(Tabelle39[[#This Row],[Abrechungsmonat]]&gt;0,ROUNDUP(MONTH(Tabelle39[[#This Row],[Abrechungsmonat]])/3,0),"0")</f>
        <v>2</v>
      </c>
      <c r="F25" s="109">
        <v>45383</v>
      </c>
      <c r="G25" s="1">
        <v>19</v>
      </c>
      <c r="H25" s="1">
        <v>274</v>
      </c>
      <c r="I25" s="45">
        <f>Tabelle39[[#This Row],[Belegungstage]]/(Tabelle39[[#This Row],[Öffnungstage]]*Tabelle39[[#This Row],[Plätze laut Versorgungsvertrag]])</f>
        <v>0.96140350877192982</v>
      </c>
      <c r="J25" s="8">
        <v>9.59</v>
      </c>
      <c r="K25" s="8">
        <f>Tabelle39[[#This Row],[Belegungstage]]*Tabelle39[[#This Row],[Tagesbetrag]]</f>
        <v>2627.66</v>
      </c>
    </row>
    <row r="26" spans="1:11" x14ac:dyDescent="0.2">
      <c r="A26" s="46" t="s">
        <v>79</v>
      </c>
      <c r="B26" s="43">
        <v>8644543</v>
      </c>
      <c r="C26" s="1">
        <v>30</v>
      </c>
      <c r="D26" s="44">
        <v>45432</v>
      </c>
      <c r="E26" s="77">
        <f>IF(Tabelle39[[#This Row],[Abrechungsmonat]]&gt;0,ROUNDUP(MONTH(Tabelle39[[#This Row],[Abrechungsmonat]])/3,0),"0")</f>
        <v>2</v>
      </c>
      <c r="F26" s="109">
        <v>45383</v>
      </c>
      <c r="G26" s="1">
        <v>21</v>
      </c>
      <c r="H26" s="1">
        <v>555</v>
      </c>
      <c r="I26" s="45">
        <f>Tabelle39[[#This Row],[Belegungstage]]/(Tabelle39[[#This Row],[Öffnungstage]]*Tabelle39[[#This Row],[Plätze laut Versorgungsvertrag]])</f>
        <v>0.88095238095238093</v>
      </c>
      <c r="J26" s="8">
        <v>12.5</v>
      </c>
      <c r="K26" s="8">
        <f>Tabelle39[[#This Row],[Belegungstage]]*Tabelle39[[#This Row],[Tagesbetrag]]</f>
        <v>6937.5</v>
      </c>
    </row>
    <row r="27" spans="1:11" x14ac:dyDescent="0.2">
      <c r="A27" s="46" t="s">
        <v>80</v>
      </c>
      <c r="B27" s="43">
        <v>64864446</v>
      </c>
      <c r="C27" s="1">
        <v>15</v>
      </c>
      <c r="D27" s="44">
        <v>45434</v>
      </c>
      <c r="E27" s="77">
        <f>IF(Tabelle39[[#This Row],[Abrechungsmonat]]&gt;0,ROUNDUP(MONTH(Tabelle39[[#This Row],[Abrechungsmonat]])/3,0),"0")</f>
        <v>2</v>
      </c>
      <c r="F27" s="109">
        <v>45383</v>
      </c>
      <c r="G27" s="1">
        <v>22</v>
      </c>
      <c r="H27" s="1">
        <v>268</v>
      </c>
      <c r="I27" s="45">
        <f>Tabelle39[[#This Row],[Belegungstage]]/(Tabelle39[[#This Row],[Öffnungstage]]*Tabelle39[[#This Row],[Plätze laut Versorgungsvertrag]])</f>
        <v>0.81212121212121213</v>
      </c>
      <c r="J27" s="8">
        <v>8.15</v>
      </c>
      <c r="K27" s="8">
        <f>Tabelle39[[#This Row],[Belegungstage]]*Tabelle39[[#This Row],[Tagesbetrag]]</f>
        <v>2184.2000000000003</v>
      </c>
    </row>
    <row r="28" spans="1:11" x14ac:dyDescent="0.2">
      <c r="A28" s="46" t="s">
        <v>81</v>
      </c>
      <c r="B28" s="43">
        <v>6788456</v>
      </c>
      <c r="C28" s="1">
        <v>30</v>
      </c>
      <c r="D28" s="44">
        <v>45455</v>
      </c>
      <c r="E28" s="77">
        <f>IF(Tabelle39[[#This Row],[Abrechungsmonat]]&gt;0,ROUNDUP(MONTH(Tabelle39[[#This Row],[Abrechungsmonat]])/3,0),"0")</f>
        <v>2</v>
      </c>
      <c r="F28" s="108">
        <v>45413</v>
      </c>
      <c r="G28" s="1">
        <v>21</v>
      </c>
      <c r="H28" s="1">
        <v>420</v>
      </c>
      <c r="I28" s="45">
        <f>Tabelle39[[#This Row],[Belegungstage]]/(Tabelle39[[#This Row],[Öffnungstage]]*Tabelle39[[#This Row],[Plätze laut Versorgungsvertrag]])</f>
        <v>0.66666666666666663</v>
      </c>
      <c r="J28" s="8">
        <v>10</v>
      </c>
      <c r="K28" s="8">
        <f>Tabelle39[[#This Row],[Belegungstage]]*Tabelle39[[#This Row],[Tagesbetrag]]</f>
        <v>4200</v>
      </c>
    </row>
    <row r="29" spans="1:11" x14ac:dyDescent="0.2">
      <c r="A29" s="46" t="s">
        <v>81</v>
      </c>
      <c r="B29" s="43">
        <v>6788456</v>
      </c>
      <c r="C29" s="1">
        <v>30</v>
      </c>
      <c r="D29" s="44">
        <v>45638</v>
      </c>
      <c r="E29" s="77">
        <f>IF(Tabelle39[[#This Row],[Abrechungsmonat]]&gt;0,ROUNDUP(MONTH(Tabelle39[[#This Row],[Abrechungsmonat]])/3,0),"0")</f>
        <v>4</v>
      </c>
      <c r="F29" s="108">
        <v>45597</v>
      </c>
      <c r="G29" s="1">
        <v>21</v>
      </c>
      <c r="H29" s="1">
        <v>420</v>
      </c>
      <c r="I29" s="45">
        <f>Tabelle39[[#This Row],[Belegungstage]]/(Tabelle39[[#This Row],[Öffnungstage]]*Tabelle39[[#This Row],[Plätze laut Versorgungsvertrag]])</f>
        <v>0.66666666666666663</v>
      </c>
      <c r="J29" s="8">
        <v>10</v>
      </c>
      <c r="K29" s="8">
        <f>Tabelle39[[#This Row],[Belegungstage]]*Tabelle39[[#This Row],[Tagesbetrag]]</f>
        <v>4200</v>
      </c>
    </row>
    <row r="30" spans="1:11" x14ac:dyDescent="0.2">
      <c r="A30" s="1" t="s">
        <v>81</v>
      </c>
      <c r="B30" s="43">
        <v>6788456</v>
      </c>
      <c r="C30" s="1">
        <v>30</v>
      </c>
      <c r="D30" s="44">
        <v>45519</v>
      </c>
      <c r="E30" s="77">
        <f>IF(Tabelle39[[#This Row],[Abrechungsmonat]]&gt;0,ROUNDUP(MONTH(Tabelle39[[#This Row],[Abrechungsmonat]])/3,0),"0")</f>
        <v>3</v>
      </c>
      <c r="F30" s="108">
        <v>45474</v>
      </c>
      <c r="G30" s="1">
        <v>21</v>
      </c>
      <c r="H30" s="1">
        <v>412</v>
      </c>
      <c r="I30" s="45">
        <f>Tabelle39[[#This Row],[Belegungstage]]/(Tabelle39[[#This Row],[Öffnungstage]]*Tabelle39[[#This Row],[Plätze laut Versorgungsvertrag]])</f>
        <v>0.65396825396825398</v>
      </c>
      <c r="J30" s="8">
        <v>10</v>
      </c>
      <c r="K30" s="8">
        <f>Tabelle39[[#This Row],[Belegungstage]]*Tabelle39[[#This Row],[Tagesbetrag]]</f>
        <v>4120</v>
      </c>
    </row>
  </sheetData>
  <mergeCells count="2">
    <mergeCell ref="A2:K2"/>
    <mergeCell ref="L4:N4"/>
  </mergeCells>
  <conditionalFormatting sqref="A4:B4 D4:E4 K4 A1:K1 F3:K3 A5:K30">
    <cfRule type="expression" dxfId="73" priority="30">
      <formula>CELL("Schutz",A1)=0</formula>
    </cfRule>
  </conditionalFormatting>
  <conditionalFormatting sqref="A2">
    <cfRule type="expression" dxfId="72" priority="29">
      <formula>CELL("Schutz",A2)=0</formula>
    </cfRule>
  </conditionalFormatting>
  <conditionalFormatting sqref="F4">
    <cfRule type="expression" dxfId="71" priority="28">
      <formula>CELL("Schutz",F4)=0</formula>
    </cfRule>
  </conditionalFormatting>
  <conditionalFormatting sqref="I5:I30">
    <cfRule type="cellIs" dxfId="70" priority="1" operator="greaterThan">
      <formula>1</formula>
    </cfRule>
    <cfRule type="cellIs" dxfId="69" priority="27" operator="greaterThan">
      <formula>1</formula>
    </cfRule>
  </conditionalFormatting>
  <conditionalFormatting sqref="A11:K16">
    <cfRule type="expression" dxfId="68" priority="26">
      <formula>CELL("Schutz",A11)=0</formula>
    </cfRule>
  </conditionalFormatting>
  <conditionalFormatting sqref="I11:I16">
    <cfRule type="cellIs" dxfId="67" priority="25" operator="greaterThan">
      <formula>1</formula>
    </cfRule>
  </conditionalFormatting>
  <conditionalFormatting sqref="A17:K22">
    <cfRule type="expression" dxfId="66" priority="24">
      <formula>CELL("Schutz",A17)=0</formula>
    </cfRule>
  </conditionalFormatting>
  <conditionalFormatting sqref="I17:I22">
    <cfRule type="cellIs" dxfId="65" priority="23" operator="greaterThan">
      <formula>1</formula>
    </cfRule>
  </conditionalFormatting>
  <conditionalFormatting sqref="A23:K28">
    <cfRule type="expression" dxfId="64" priority="22">
      <formula>CELL("Schutz",A23)=0</formula>
    </cfRule>
  </conditionalFormatting>
  <conditionalFormatting sqref="I23:I28">
    <cfRule type="cellIs" dxfId="63" priority="21" operator="greaterThan">
      <formula>1</formula>
    </cfRule>
  </conditionalFormatting>
  <conditionalFormatting sqref="F17">
    <cfRule type="expression" dxfId="62" priority="20">
      <formula>CELL("Schutz",F17)=0</formula>
    </cfRule>
  </conditionalFormatting>
  <conditionalFormatting sqref="F18">
    <cfRule type="expression" dxfId="61" priority="19">
      <formula>CELL("Schutz",F18)=0</formula>
    </cfRule>
  </conditionalFormatting>
  <conditionalFormatting sqref="F19">
    <cfRule type="expression" dxfId="60" priority="18">
      <formula>CELL("Schutz",F19)=0</formula>
    </cfRule>
  </conditionalFormatting>
  <conditionalFormatting sqref="F20">
    <cfRule type="expression" dxfId="59" priority="17">
      <formula>CELL("Schutz",F20)=0</formula>
    </cfRule>
  </conditionalFormatting>
  <conditionalFormatting sqref="F21">
    <cfRule type="expression" dxfId="58" priority="16">
      <formula>CELL("Schutz",F21)=0</formula>
    </cfRule>
  </conditionalFormatting>
  <conditionalFormatting sqref="F22">
    <cfRule type="expression" dxfId="57" priority="15">
      <formula>CELL("Schutz",F22)=0</formula>
    </cfRule>
  </conditionalFormatting>
  <conditionalFormatting sqref="F23">
    <cfRule type="expression" dxfId="56" priority="14">
      <formula>CELL("Schutz",F23)=0</formula>
    </cfRule>
  </conditionalFormatting>
  <conditionalFormatting sqref="F23">
    <cfRule type="expression" dxfId="55" priority="13">
      <formula>CELL("Schutz",F23)=0</formula>
    </cfRule>
  </conditionalFormatting>
  <conditionalFormatting sqref="F24">
    <cfRule type="expression" dxfId="54" priority="12">
      <formula>CELL("Schutz",F24)=0</formula>
    </cfRule>
  </conditionalFormatting>
  <conditionalFormatting sqref="F24">
    <cfRule type="expression" dxfId="53" priority="11">
      <formula>CELL("Schutz",F24)=0</formula>
    </cfRule>
  </conditionalFormatting>
  <conditionalFormatting sqref="F25">
    <cfRule type="expression" dxfId="52" priority="10">
      <formula>CELL("Schutz",F25)=0</formula>
    </cfRule>
  </conditionalFormatting>
  <conditionalFormatting sqref="F25">
    <cfRule type="expression" dxfId="51" priority="9">
      <formula>CELL("Schutz",F25)=0</formula>
    </cfRule>
  </conditionalFormatting>
  <conditionalFormatting sqref="F26">
    <cfRule type="expression" dxfId="50" priority="8">
      <formula>CELL("Schutz",F26)=0</formula>
    </cfRule>
  </conditionalFormatting>
  <conditionalFormatting sqref="F26">
    <cfRule type="expression" dxfId="49" priority="7">
      <formula>CELL("Schutz",F26)=0</formula>
    </cfRule>
  </conditionalFormatting>
  <conditionalFormatting sqref="F27">
    <cfRule type="expression" dxfId="48" priority="6">
      <formula>CELL("Schutz",F27)=0</formula>
    </cfRule>
  </conditionalFormatting>
  <conditionalFormatting sqref="F27">
    <cfRule type="expression" dxfId="47" priority="5">
      <formula>CELL("Schutz",F27)=0</formula>
    </cfRule>
  </conditionalFormatting>
  <conditionalFormatting sqref="A29">
    <cfRule type="expression" dxfId="46" priority="4">
      <formula>CELL("Schutz",A29)=0</formula>
    </cfRule>
  </conditionalFormatting>
  <conditionalFormatting sqref="B29">
    <cfRule type="expression" dxfId="45" priority="3">
      <formula>CELL("Schutz",B29)=0</formula>
    </cfRule>
  </conditionalFormatting>
  <conditionalFormatting sqref="C29">
    <cfRule type="expression" dxfId="44" priority="2">
      <formula>CELL("Schutz",C29)=0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tabColor theme="5" tint="-0.499984740745262"/>
    <pageSetUpPr fitToPage="1"/>
  </sheetPr>
  <dimension ref="A1:O137"/>
  <sheetViews>
    <sheetView workbookViewId="0">
      <pane ySplit="4" topLeftCell="A8" activePane="bottomLeft" state="frozen"/>
      <selection pane="bottomLeft" activeCell="F29" sqref="F29"/>
    </sheetView>
  </sheetViews>
  <sheetFormatPr baseColWidth="10" defaultColWidth="11.42578125" defaultRowHeight="12.75" x14ac:dyDescent="0.2"/>
  <cols>
    <col min="1" max="1" width="21.85546875" style="1" customWidth="1"/>
    <col min="2" max="2" width="12.28515625" style="1" customWidth="1"/>
    <col min="3" max="3" width="19.140625" style="77" customWidth="1"/>
    <col min="4" max="4" width="20.5703125" style="1" customWidth="1"/>
    <col min="5" max="5" width="11" style="1" customWidth="1"/>
    <col min="6" max="6" width="21" style="1" customWidth="1"/>
    <col min="7" max="7" width="31.7109375" style="1" bestFit="1" customWidth="1"/>
    <col min="8" max="8" width="17" style="1" customWidth="1"/>
    <col min="9" max="9" width="17.28515625" style="1" customWidth="1"/>
    <col min="10" max="11" width="17.140625" style="1" customWidth="1"/>
    <col min="12" max="12" width="30.140625" style="1" customWidth="1"/>
    <col min="13" max="16384" width="11.42578125" style="1"/>
  </cols>
  <sheetData>
    <row r="1" spans="1:15" x14ac:dyDescent="0.2">
      <c r="C1" s="1"/>
    </row>
    <row r="2" spans="1:15" x14ac:dyDescent="0.2">
      <c r="A2" s="164" t="s">
        <v>33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1:15" x14ac:dyDescent="0.2">
      <c r="A3" s="17"/>
      <c r="B3" s="17"/>
      <c r="C3" s="17"/>
      <c r="D3" s="17"/>
      <c r="E3" s="73"/>
    </row>
    <row r="4" spans="1:15" s="32" customFormat="1" ht="83.25" customHeight="1" x14ac:dyDescent="0.2">
      <c r="A4" s="37" t="s">
        <v>27</v>
      </c>
      <c r="B4" s="37" t="s">
        <v>25</v>
      </c>
      <c r="C4" s="37" t="s">
        <v>28</v>
      </c>
      <c r="D4" s="37" t="s">
        <v>37</v>
      </c>
      <c r="E4" s="37" t="s">
        <v>57</v>
      </c>
      <c r="F4" s="37" t="s">
        <v>29</v>
      </c>
      <c r="G4" s="37" t="s">
        <v>30</v>
      </c>
      <c r="H4" s="37" t="s">
        <v>31</v>
      </c>
      <c r="I4" s="37" t="s">
        <v>16</v>
      </c>
      <c r="J4" s="37" t="s">
        <v>4</v>
      </c>
      <c r="K4" s="37" t="s">
        <v>6</v>
      </c>
      <c r="L4" s="38" t="s">
        <v>14</v>
      </c>
      <c r="M4" s="166" t="s">
        <v>87</v>
      </c>
      <c r="N4" s="176"/>
      <c r="O4" s="176"/>
    </row>
    <row r="5" spans="1:15" x14ac:dyDescent="0.2">
      <c r="A5" s="46" t="s">
        <v>39</v>
      </c>
      <c r="B5" s="1">
        <v>987654321</v>
      </c>
      <c r="C5" s="1">
        <v>35</v>
      </c>
      <c r="D5" s="44">
        <v>45478</v>
      </c>
      <c r="E5" s="80">
        <f>IF(Tabelle5[[#This Row],[Abrechnungszeitraum Ende]]&gt;0,ROUNDUP(MONTH(Tabelle5[[#This Row],[Abrechnungszeitraum Ende]])/3,0),"0")</f>
        <v>2</v>
      </c>
      <c r="F5" s="44">
        <v>45383</v>
      </c>
      <c r="G5" s="78">
        <v>45473</v>
      </c>
      <c r="H5" s="1">
        <v>91</v>
      </c>
      <c r="I5" s="1">
        <v>2700</v>
      </c>
      <c r="J5" s="45">
        <f>Tabelle5[[#This Row],[Belegungstage]]/(Tabelle5[[#This Row],[Plätze laut Versorgungsvertrag]]*Tabelle5[[#This Row],[Öffnungstage]])</f>
        <v>0.84772370486656201</v>
      </c>
      <c r="K5" s="8">
        <v>25</v>
      </c>
      <c r="L5" s="8">
        <f>Tabelle5[[#This Row],[Belegungstage]]*Tabelle5[[#This Row],[Tagesbetrag]]</f>
        <v>67500</v>
      </c>
    </row>
    <row r="6" spans="1:15" s="2" customFormat="1" x14ac:dyDescent="0.2">
      <c r="A6" s="1" t="s">
        <v>39</v>
      </c>
      <c r="B6" s="1">
        <v>987654321</v>
      </c>
      <c r="C6" s="1">
        <v>35</v>
      </c>
      <c r="D6" s="44">
        <v>45303</v>
      </c>
      <c r="E6" s="80">
        <f>IF(Tabelle5[[#This Row],[Abrechnungszeitraum Ende]]&gt;0,ROUNDUP(MONTH(Tabelle5[[#This Row],[Abrechnungszeitraum Ende]])/3,0),"0")</f>
        <v>4</v>
      </c>
      <c r="F6" s="44">
        <v>45200</v>
      </c>
      <c r="G6" s="78">
        <v>45291</v>
      </c>
      <c r="H6" s="1">
        <v>91</v>
      </c>
      <c r="I6" s="1">
        <v>2648</v>
      </c>
      <c r="J6" s="45">
        <f>Tabelle5[[#This Row],[Belegungstage]]/(Tabelle5[[#This Row],[Plätze laut Versorgungsvertrag]]*Tabelle5[[#This Row],[Öffnungstage]])</f>
        <v>0.83139717425431714</v>
      </c>
      <c r="K6" s="8">
        <v>25</v>
      </c>
      <c r="L6" s="8">
        <f>Tabelle5[[#This Row],[Belegungstage]]*Tabelle5[[#This Row],[Tagesbetrag]]</f>
        <v>66200</v>
      </c>
    </row>
    <row r="7" spans="1:15" s="2" customFormat="1" x14ac:dyDescent="0.2">
      <c r="A7" s="1" t="s">
        <v>39</v>
      </c>
      <c r="B7" s="1">
        <v>987654321</v>
      </c>
      <c r="C7" s="1">
        <v>35</v>
      </c>
      <c r="D7" s="44">
        <v>45385</v>
      </c>
      <c r="E7" s="80">
        <f>IF(Tabelle5[[#This Row],[Abrechnungszeitraum Ende]]&gt;0,ROUNDUP(MONTH(Tabelle5[[#This Row],[Abrechnungszeitraum Ende]])/3,0),"0")</f>
        <v>1</v>
      </c>
      <c r="F7" s="44">
        <v>45292</v>
      </c>
      <c r="G7" s="78">
        <v>45382</v>
      </c>
      <c r="H7" s="1">
        <v>92</v>
      </c>
      <c r="I7" s="1">
        <v>2412</v>
      </c>
      <c r="J7" s="45">
        <f>Tabelle5[[#This Row],[Belegungstage]]/(Tabelle5[[#This Row],[Plätze laut Versorgungsvertrag]]*Tabelle5[[#This Row],[Öffnungstage]])</f>
        <v>0.7490683229813665</v>
      </c>
      <c r="K7" s="8">
        <v>25</v>
      </c>
      <c r="L7" s="8">
        <f>Tabelle5[[#This Row],[Belegungstage]]*Tabelle5[[#This Row],[Tagesbetrag]]</f>
        <v>60300</v>
      </c>
    </row>
    <row r="8" spans="1:15" s="2" customFormat="1" x14ac:dyDescent="0.2">
      <c r="A8" s="1" t="s">
        <v>39</v>
      </c>
      <c r="B8" s="1">
        <v>987654321</v>
      </c>
      <c r="C8" s="1">
        <v>35</v>
      </c>
      <c r="D8" s="44">
        <v>45581</v>
      </c>
      <c r="E8" s="80">
        <f>IF(Tabelle5[[#This Row],[Abrechnungszeitraum Ende]]&gt;0,ROUNDUP(MONTH(Tabelle5[[#This Row],[Abrechnungszeitraum Ende]])/3,0),"0")</f>
        <v>3</v>
      </c>
      <c r="F8" s="44">
        <v>45474</v>
      </c>
      <c r="G8" s="79">
        <v>45565</v>
      </c>
      <c r="H8" s="1">
        <v>90</v>
      </c>
      <c r="I8" s="1">
        <v>1821</v>
      </c>
      <c r="J8" s="45">
        <f>Tabelle5[[#This Row],[Belegungstage]]/(Tabelle5[[#This Row],[Plätze laut Versorgungsvertrag]]*Tabelle5[[#This Row],[Öffnungstage]])</f>
        <v>0.57809523809523811</v>
      </c>
      <c r="K8" s="8">
        <v>25</v>
      </c>
      <c r="L8" s="8">
        <f>Tabelle5[[#This Row],[Belegungstage]]*Tabelle5[[#This Row],[Tagesbetrag]]</f>
        <v>45525</v>
      </c>
    </row>
    <row r="9" spans="1:15" s="2" customFormat="1" x14ac:dyDescent="0.2">
      <c r="A9" s="46" t="s">
        <v>58</v>
      </c>
      <c r="B9" s="1">
        <v>321654987</v>
      </c>
      <c r="C9" s="1">
        <v>40</v>
      </c>
      <c r="D9" s="44">
        <v>45519</v>
      </c>
      <c r="E9" s="80">
        <f>IF(Tabelle5[[#This Row],[Abrechnungszeitraum Ende]]&gt;0,ROUNDUP(MONTH(Tabelle5[[#This Row],[Abrechnungszeitraum Ende]])/3,0),"0")</f>
        <v>2</v>
      </c>
      <c r="F9" s="44">
        <v>45383</v>
      </c>
      <c r="G9" s="78">
        <v>45473</v>
      </c>
      <c r="H9" s="1">
        <v>91</v>
      </c>
      <c r="I9" s="1">
        <v>651</v>
      </c>
      <c r="J9" s="45">
        <f>Tabelle5[[#This Row],[Belegungstage]]/(Tabelle5[[#This Row],[Plätze laut Versorgungsvertrag]]*Tabelle5[[#This Row],[Öffnungstage]])</f>
        <v>0.17884615384615385</v>
      </c>
      <c r="K9" s="8">
        <v>34</v>
      </c>
      <c r="L9" s="8">
        <f>Tabelle5[[#This Row],[Belegungstage]]*Tabelle5[[#This Row],[Tagesbetrag]]</f>
        <v>22134</v>
      </c>
    </row>
    <row r="10" spans="1:15" s="2" customFormat="1" x14ac:dyDescent="0.2">
      <c r="A10" s="46" t="s">
        <v>58</v>
      </c>
      <c r="B10" s="1">
        <v>321654987</v>
      </c>
      <c r="C10" s="1">
        <v>40</v>
      </c>
      <c r="D10" s="44">
        <v>45599</v>
      </c>
      <c r="E10" s="80">
        <f>IF(Tabelle5[[#This Row],[Abrechnungszeitraum Ende]]&gt;0,ROUNDUP(MONTH(Tabelle5[[#This Row],[Abrechnungszeitraum Ende]])/3,0),"0")</f>
        <v>3</v>
      </c>
      <c r="F10" s="44">
        <v>45474</v>
      </c>
      <c r="G10" s="79">
        <v>45565</v>
      </c>
      <c r="H10" s="1">
        <v>90</v>
      </c>
      <c r="I10" s="1">
        <v>705</v>
      </c>
      <c r="J10" s="45">
        <f>Tabelle5[[#This Row],[Belegungstage]]/(Tabelle5[[#This Row],[Plätze laut Versorgungsvertrag]]*Tabelle5[[#This Row],[Öffnungstage]])</f>
        <v>0.19583333333333333</v>
      </c>
      <c r="K10" s="8">
        <v>34</v>
      </c>
      <c r="L10" s="8">
        <f>Tabelle5[[#This Row],[Belegungstage]]*Tabelle5[[#This Row],[Tagesbetrag]]</f>
        <v>23970</v>
      </c>
    </row>
    <row r="11" spans="1:15" s="2" customFormat="1" x14ac:dyDescent="0.2">
      <c r="A11" s="46" t="s">
        <v>59</v>
      </c>
      <c r="B11" s="1">
        <v>798465132</v>
      </c>
      <c r="C11" s="1">
        <v>15</v>
      </c>
      <c r="D11" s="44">
        <v>45656</v>
      </c>
      <c r="E11" s="80">
        <f>IF(Tabelle5[[#This Row],[Abrechnungszeitraum Ende]]&gt;0,ROUNDUP(MONTH(Tabelle5[[#This Row],[Abrechnungszeitraum Ende]])/3,0),"0")</f>
        <v>4</v>
      </c>
      <c r="F11" s="44">
        <v>45597</v>
      </c>
      <c r="G11" s="78">
        <v>45626</v>
      </c>
      <c r="H11" s="1">
        <v>30</v>
      </c>
      <c r="I11" s="1">
        <v>442</v>
      </c>
      <c r="J11" s="45">
        <f>Tabelle5[[#This Row],[Belegungstage]]/(Tabelle5[[#This Row],[Plätze laut Versorgungsvertrag]]*Tabelle5[[#This Row],[Öffnungstage]])</f>
        <v>0.98222222222222222</v>
      </c>
      <c r="K11" s="8">
        <v>29</v>
      </c>
      <c r="L11" s="8">
        <f>Tabelle5[[#This Row],[Belegungstage]]*Tabelle5[[#This Row],[Tagesbetrag]]</f>
        <v>12818</v>
      </c>
    </row>
    <row r="12" spans="1:15" s="2" customFormat="1" x14ac:dyDescent="0.2">
      <c r="A12" s="15"/>
      <c r="B12" s="9"/>
      <c r="C12" s="99"/>
      <c r="D12" s="9"/>
      <c r="E12" s="9"/>
      <c r="F12" s="11"/>
      <c r="I12" s="12"/>
    </row>
    <row r="13" spans="1:15" s="2" customFormat="1" x14ac:dyDescent="0.2">
      <c r="A13" s="9"/>
      <c r="B13" s="9"/>
      <c r="C13" s="99"/>
      <c r="D13" s="9"/>
      <c r="E13" s="9"/>
      <c r="F13" s="11"/>
      <c r="I13" s="12"/>
    </row>
    <row r="14" spans="1:15" s="2" customFormat="1" x14ac:dyDescent="0.2">
      <c r="A14" s="9"/>
      <c r="B14" s="9"/>
      <c r="C14" s="99"/>
      <c r="D14" s="9"/>
      <c r="E14" s="9"/>
      <c r="F14" s="11"/>
      <c r="I14" s="12"/>
    </row>
    <row r="15" spans="1:15" s="2" customFormat="1" x14ac:dyDescent="0.2">
      <c r="A15" s="9"/>
      <c r="B15" s="9"/>
      <c r="C15" s="99"/>
      <c r="D15" s="9"/>
      <c r="E15" s="9"/>
      <c r="F15" s="11"/>
      <c r="I15" s="12"/>
    </row>
    <row r="16" spans="1:15" s="2" customFormat="1" x14ac:dyDescent="0.2">
      <c r="A16" s="9"/>
      <c r="B16" s="9"/>
      <c r="C16" s="99"/>
      <c r="D16" s="9"/>
      <c r="E16" s="9"/>
      <c r="F16" s="11"/>
      <c r="I16" s="12"/>
    </row>
    <row r="17" spans="1:12" s="2" customFormat="1" x14ac:dyDescent="0.2">
      <c r="A17" s="9"/>
      <c r="B17" s="9"/>
      <c r="C17" s="99"/>
      <c r="D17" s="9"/>
      <c r="E17" s="9"/>
      <c r="F17" s="11"/>
      <c r="I17" s="12"/>
    </row>
    <row r="18" spans="1:12" s="2" customFormat="1" ht="20.25" x14ac:dyDescent="0.3">
      <c r="A18" s="179" t="s">
        <v>69</v>
      </c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01"/>
    </row>
    <row r="19" spans="1:12" s="2" customFormat="1" x14ac:dyDescent="0.2">
      <c r="A19" s="158" t="s">
        <v>66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</row>
    <row r="20" spans="1:12" s="2" customFormat="1" x14ac:dyDescent="0.2">
      <c r="A20" s="180" t="s">
        <v>67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0"/>
    </row>
    <row r="21" spans="1:12" s="2" customFormat="1" ht="38.25" x14ac:dyDescent="0.2">
      <c r="A21" s="96" t="s">
        <v>61</v>
      </c>
      <c r="B21" s="96" t="s">
        <v>62</v>
      </c>
      <c r="C21" s="96" t="s">
        <v>63</v>
      </c>
      <c r="D21" s="96" t="s">
        <v>64</v>
      </c>
      <c r="E21" s="96" t="s">
        <v>65</v>
      </c>
      <c r="F21" s="96" t="s">
        <v>6</v>
      </c>
      <c r="G21" s="2" t="s">
        <v>28</v>
      </c>
      <c r="H21" s="130" t="s">
        <v>90</v>
      </c>
      <c r="I21" s="130" t="s">
        <v>93</v>
      </c>
      <c r="J21" s="130" t="s">
        <v>95</v>
      </c>
      <c r="K21" s="130" t="s">
        <v>94</v>
      </c>
    </row>
    <row r="22" spans="1:12" s="2" customFormat="1" x14ac:dyDescent="0.2">
      <c r="A22" s="96" t="s">
        <v>39</v>
      </c>
      <c r="B22" s="96">
        <v>987654321</v>
      </c>
      <c r="C22" s="97">
        <v>45280</v>
      </c>
      <c r="D22" s="97">
        <v>45292</v>
      </c>
      <c r="E22" s="97">
        <v>45657</v>
      </c>
      <c r="F22" s="102">
        <v>25</v>
      </c>
      <c r="G22" s="2">
        <v>35</v>
      </c>
      <c r="H22" s="136">
        <v>35</v>
      </c>
      <c r="I22" s="136">
        <v>0.35</v>
      </c>
      <c r="J22" s="136">
        <v>35</v>
      </c>
      <c r="K22" s="136">
        <v>35</v>
      </c>
    </row>
    <row r="23" spans="1:12" s="2" customFormat="1" x14ac:dyDescent="0.2">
      <c r="A23" s="96" t="s">
        <v>58</v>
      </c>
      <c r="B23" s="96">
        <v>321654987</v>
      </c>
      <c r="C23" s="97">
        <v>45335</v>
      </c>
      <c r="D23" s="97">
        <v>45383</v>
      </c>
      <c r="E23" s="97">
        <v>45746</v>
      </c>
      <c r="F23" s="102">
        <v>34</v>
      </c>
      <c r="G23" s="2">
        <v>40</v>
      </c>
      <c r="H23" s="136">
        <v>44</v>
      </c>
      <c r="I23" s="136">
        <v>0.4</v>
      </c>
      <c r="J23" s="136">
        <v>35</v>
      </c>
      <c r="K23" s="136">
        <v>36</v>
      </c>
    </row>
    <row r="24" spans="1:12" s="2" customFormat="1" x14ac:dyDescent="0.2">
      <c r="A24" s="96" t="s">
        <v>59</v>
      </c>
      <c r="B24" s="96">
        <v>798465132</v>
      </c>
      <c r="C24" s="97">
        <v>45579</v>
      </c>
      <c r="D24" s="97">
        <v>45597</v>
      </c>
      <c r="E24" s="97">
        <v>45930</v>
      </c>
      <c r="F24" s="102">
        <v>29</v>
      </c>
      <c r="G24" s="2">
        <v>15</v>
      </c>
      <c r="H24" s="136">
        <v>12</v>
      </c>
      <c r="I24" s="136">
        <v>0.12</v>
      </c>
      <c r="J24" s="136">
        <v>12</v>
      </c>
      <c r="K24" s="136">
        <v>12</v>
      </c>
    </row>
    <row r="25" spans="1:12" s="2" customFormat="1" x14ac:dyDescent="0.2">
      <c r="A25" s="9"/>
      <c r="B25" s="9"/>
      <c r="C25" s="99"/>
      <c r="D25" s="9"/>
      <c r="E25" s="9"/>
      <c r="F25" s="11"/>
      <c r="I25" s="12"/>
    </row>
    <row r="26" spans="1:12" s="2" customFormat="1" x14ac:dyDescent="0.2">
      <c r="A26" s="9"/>
      <c r="B26" s="9"/>
      <c r="C26" s="99"/>
      <c r="D26" s="9"/>
      <c r="E26" s="9"/>
      <c r="F26" s="11"/>
      <c r="I26" s="12"/>
    </row>
    <row r="27" spans="1:12" s="2" customFormat="1" x14ac:dyDescent="0.2">
      <c r="A27" s="9"/>
      <c r="B27" s="9"/>
      <c r="C27" s="99"/>
      <c r="D27" s="9"/>
      <c r="E27" s="9"/>
      <c r="F27" s="11"/>
      <c r="I27" s="12"/>
    </row>
    <row r="28" spans="1:12" s="2" customFormat="1" x14ac:dyDescent="0.2">
      <c r="A28" s="9"/>
      <c r="B28" s="9"/>
      <c r="C28" s="99"/>
      <c r="D28" s="9"/>
      <c r="E28" s="9"/>
      <c r="F28" s="11"/>
      <c r="I28" s="12"/>
    </row>
    <row r="29" spans="1:12" s="2" customFormat="1" x14ac:dyDescent="0.2">
      <c r="A29" s="9"/>
      <c r="B29" s="9"/>
      <c r="C29" s="99"/>
      <c r="D29" s="9"/>
      <c r="E29" s="9"/>
      <c r="F29" s="11"/>
      <c r="I29" s="12"/>
    </row>
    <row r="30" spans="1:12" s="2" customFormat="1" x14ac:dyDescent="0.2">
      <c r="A30" s="9"/>
      <c r="B30" s="9"/>
      <c r="C30" s="99"/>
      <c r="D30" s="9"/>
      <c r="E30" s="9"/>
      <c r="F30" s="11"/>
      <c r="I30" s="12"/>
    </row>
    <row r="31" spans="1:12" s="2" customFormat="1" x14ac:dyDescent="0.2">
      <c r="A31" s="9"/>
      <c r="B31" s="9"/>
      <c r="C31" s="99"/>
      <c r="D31" s="9"/>
      <c r="E31" s="9"/>
      <c r="F31" s="11"/>
      <c r="I31" s="12"/>
    </row>
    <row r="32" spans="1:12" s="2" customFormat="1" x14ac:dyDescent="0.2">
      <c r="A32" s="9"/>
      <c r="B32" s="9"/>
      <c r="C32" s="99"/>
      <c r="D32" s="9"/>
      <c r="E32" s="9"/>
      <c r="F32" s="11"/>
      <c r="I32" s="12"/>
    </row>
    <row r="33" spans="1:9" s="2" customFormat="1" x14ac:dyDescent="0.2">
      <c r="A33" s="9"/>
      <c r="B33" s="9"/>
      <c r="C33" s="99"/>
      <c r="D33" s="9"/>
      <c r="E33" s="9"/>
      <c r="F33" s="11"/>
      <c r="I33" s="12"/>
    </row>
    <row r="34" spans="1:9" s="2" customFormat="1" x14ac:dyDescent="0.2">
      <c r="A34" s="9"/>
      <c r="B34" s="9"/>
      <c r="C34" s="99"/>
      <c r="D34" s="9"/>
      <c r="E34" s="9"/>
      <c r="F34" s="11"/>
      <c r="I34" s="12"/>
    </row>
    <row r="35" spans="1:9" s="2" customFormat="1" x14ac:dyDescent="0.2">
      <c r="A35" s="9"/>
      <c r="B35" s="9"/>
      <c r="C35" s="99"/>
      <c r="D35" s="9"/>
      <c r="E35" s="9"/>
      <c r="F35" s="11"/>
      <c r="I35" s="12"/>
    </row>
    <row r="36" spans="1:9" s="2" customFormat="1" x14ac:dyDescent="0.2">
      <c r="A36" s="9"/>
      <c r="B36" s="9"/>
      <c r="C36" s="99"/>
      <c r="D36" s="9"/>
      <c r="E36" s="9"/>
      <c r="F36" s="11"/>
      <c r="I36" s="12"/>
    </row>
    <row r="37" spans="1:9" s="2" customFormat="1" x14ac:dyDescent="0.2">
      <c r="A37" s="9"/>
      <c r="B37" s="9"/>
      <c r="C37" s="99"/>
      <c r="D37" s="9"/>
      <c r="E37" s="9"/>
      <c r="F37" s="11"/>
      <c r="I37" s="12"/>
    </row>
    <row r="38" spans="1:9" s="2" customFormat="1" x14ac:dyDescent="0.2">
      <c r="A38" s="9"/>
      <c r="B38" s="9"/>
      <c r="C38" s="99"/>
      <c r="D38" s="9"/>
      <c r="E38" s="9"/>
      <c r="F38" s="11"/>
      <c r="I38" s="12"/>
    </row>
    <row r="39" spans="1:9" s="2" customFormat="1" x14ac:dyDescent="0.2">
      <c r="A39" s="9"/>
      <c r="B39" s="9"/>
      <c r="C39" s="99"/>
      <c r="D39" s="9"/>
      <c r="E39" s="9"/>
      <c r="F39" s="11"/>
      <c r="I39" s="12"/>
    </row>
    <row r="40" spans="1:9" s="2" customFormat="1" x14ac:dyDescent="0.2">
      <c r="A40" s="9"/>
      <c r="B40" s="9"/>
      <c r="C40" s="99"/>
      <c r="D40" s="9"/>
      <c r="E40" s="9"/>
      <c r="F40" s="11"/>
      <c r="I40" s="12"/>
    </row>
    <row r="41" spans="1:9" s="2" customFormat="1" x14ac:dyDescent="0.2">
      <c r="A41" s="9"/>
      <c r="B41" s="9"/>
      <c r="C41" s="99"/>
      <c r="D41" s="9"/>
      <c r="E41" s="9"/>
      <c r="F41" s="11"/>
      <c r="I41" s="12"/>
    </row>
    <row r="42" spans="1:9" s="2" customFormat="1" x14ac:dyDescent="0.2">
      <c r="A42" s="9"/>
      <c r="B42" s="9"/>
      <c r="C42" s="99"/>
      <c r="D42" s="9"/>
      <c r="E42" s="9"/>
      <c r="F42" s="11"/>
      <c r="I42" s="12"/>
    </row>
    <row r="43" spans="1:9" s="2" customFormat="1" x14ac:dyDescent="0.2">
      <c r="A43" s="9"/>
      <c r="B43" s="9"/>
      <c r="C43" s="99"/>
      <c r="D43" s="9"/>
      <c r="E43" s="9"/>
      <c r="F43" s="11"/>
      <c r="I43" s="12"/>
    </row>
    <row r="44" spans="1:9" s="2" customFormat="1" x14ac:dyDescent="0.2">
      <c r="A44" s="9"/>
      <c r="B44" s="9"/>
      <c r="C44" s="99"/>
      <c r="D44" s="9"/>
      <c r="E44" s="9"/>
      <c r="F44" s="11"/>
      <c r="I44" s="12"/>
    </row>
    <row r="45" spans="1:9" s="2" customFormat="1" x14ac:dyDescent="0.2">
      <c r="A45" s="9"/>
      <c r="B45" s="9"/>
      <c r="C45" s="99"/>
      <c r="D45" s="9"/>
      <c r="E45" s="9"/>
      <c r="F45" s="11"/>
      <c r="I45" s="12"/>
    </row>
    <row r="46" spans="1:9" s="2" customFormat="1" x14ac:dyDescent="0.2">
      <c r="A46" s="9"/>
      <c r="B46" s="9"/>
      <c r="C46" s="99"/>
      <c r="D46" s="9"/>
      <c r="E46" s="9"/>
      <c r="F46" s="11"/>
      <c r="I46" s="12"/>
    </row>
    <row r="47" spans="1:9" s="2" customFormat="1" x14ac:dyDescent="0.2">
      <c r="A47" s="9"/>
      <c r="B47" s="9"/>
      <c r="C47" s="99"/>
      <c r="D47" s="9"/>
      <c r="E47" s="9"/>
      <c r="F47" s="11"/>
      <c r="I47" s="12"/>
    </row>
    <row r="48" spans="1:9" s="2" customFormat="1" x14ac:dyDescent="0.2">
      <c r="A48" s="9"/>
      <c r="B48" s="9"/>
      <c r="C48" s="99"/>
      <c r="D48" s="9"/>
      <c r="E48" s="9"/>
      <c r="F48" s="11"/>
      <c r="I48" s="12"/>
    </row>
    <row r="49" spans="1:9" s="2" customFormat="1" x14ac:dyDescent="0.2">
      <c r="A49" s="9"/>
      <c r="B49" s="9"/>
      <c r="C49" s="99"/>
      <c r="D49" s="9"/>
      <c r="E49" s="9"/>
      <c r="F49" s="11"/>
      <c r="I49" s="12"/>
    </row>
    <row r="50" spans="1:9" s="2" customFormat="1" x14ac:dyDescent="0.2">
      <c r="A50" s="9"/>
      <c r="B50" s="9"/>
      <c r="C50" s="99"/>
      <c r="D50" s="9"/>
      <c r="E50" s="9"/>
      <c r="F50" s="11"/>
      <c r="I50" s="12"/>
    </row>
    <row r="51" spans="1:9" s="2" customFormat="1" x14ac:dyDescent="0.2">
      <c r="A51" s="9"/>
      <c r="B51" s="9"/>
      <c r="C51" s="99"/>
      <c r="D51" s="9"/>
      <c r="E51" s="9"/>
      <c r="F51" s="11"/>
      <c r="I51" s="12"/>
    </row>
    <row r="52" spans="1:9" s="2" customFormat="1" x14ac:dyDescent="0.2">
      <c r="A52" s="9"/>
      <c r="B52" s="9"/>
      <c r="C52" s="99"/>
      <c r="D52" s="9"/>
      <c r="E52" s="9"/>
      <c r="F52" s="11"/>
      <c r="I52" s="12"/>
    </row>
    <row r="53" spans="1:9" s="2" customFormat="1" x14ac:dyDescent="0.2">
      <c r="A53" s="9"/>
      <c r="B53" s="9"/>
      <c r="C53" s="99"/>
      <c r="D53" s="9"/>
      <c r="E53" s="9"/>
      <c r="F53" s="11"/>
      <c r="I53" s="12"/>
    </row>
    <row r="54" spans="1:9" s="2" customFormat="1" x14ac:dyDescent="0.2">
      <c r="A54" s="9"/>
      <c r="B54" s="9"/>
      <c r="C54" s="99"/>
      <c r="D54" s="9"/>
      <c r="E54" s="9"/>
      <c r="F54" s="11"/>
      <c r="I54" s="12"/>
    </row>
    <row r="55" spans="1:9" s="2" customFormat="1" x14ac:dyDescent="0.2">
      <c r="A55" s="9"/>
      <c r="B55" s="9"/>
      <c r="C55" s="99"/>
      <c r="D55" s="9"/>
      <c r="E55" s="9"/>
      <c r="F55" s="11"/>
      <c r="I55" s="12"/>
    </row>
    <row r="56" spans="1:9" s="2" customFormat="1" x14ac:dyDescent="0.2">
      <c r="A56" s="9"/>
      <c r="B56" s="9"/>
      <c r="C56" s="99"/>
      <c r="D56" s="9"/>
      <c r="E56" s="9"/>
      <c r="F56" s="11"/>
      <c r="I56" s="12"/>
    </row>
    <row r="57" spans="1:9" s="2" customFormat="1" x14ac:dyDescent="0.2">
      <c r="A57" s="9"/>
      <c r="B57" s="9"/>
      <c r="C57" s="99"/>
      <c r="D57" s="9"/>
      <c r="E57" s="9"/>
      <c r="F57" s="11"/>
      <c r="I57" s="12"/>
    </row>
    <row r="58" spans="1:9" s="2" customFormat="1" x14ac:dyDescent="0.2">
      <c r="A58" s="9"/>
      <c r="B58" s="9"/>
      <c r="C58" s="99"/>
      <c r="D58" s="9"/>
      <c r="E58" s="9"/>
      <c r="F58" s="11"/>
      <c r="I58" s="12"/>
    </row>
    <row r="59" spans="1:9" s="2" customFormat="1" x14ac:dyDescent="0.2">
      <c r="A59" s="9"/>
      <c r="B59" s="9"/>
      <c r="C59" s="99"/>
      <c r="D59" s="9"/>
      <c r="E59" s="9"/>
      <c r="F59" s="11"/>
      <c r="I59" s="12"/>
    </row>
    <row r="60" spans="1:9" s="2" customFormat="1" x14ac:dyDescent="0.2">
      <c r="A60" s="9"/>
      <c r="B60" s="9"/>
      <c r="C60" s="99"/>
      <c r="D60" s="9"/>
      <c r="E60" s="9"/>
      <c r="F60" s="11"/>
      <c r="I60" s="12"/>
    </row>
    <row r="61" spans="1:9" s="2" customFormat="1" x14ac:dyDescent="0.2">
      <c r="A61" s="9"/>
      <c r="B61" s="9"/>
      <c r="C61" s="99"/>
      <c r="D61" s="9"/>
      <c r="E61" s="9"/>
      <c r="F61" s="11"/>
      <c r="I61" s="12"/>
    </row>
    <row r="62" spans="1:9" s="2" customFormat="1" x14ac:dyDescent="0.2">
      <c r="A62" s="9"/>
      <c r="B62" s="9"/>
      <c r="C62" s="99"/>
      <c r="D62" s="9"/>
      <c r="E62" s="9"/>
      <c r="F62" s="11"/>
      <c r="I62" s="12"/>
    </row>
    <row r="63" spans="1:9" s="2" customFormat="1" x14ac:dyDescent="0.2">
      <c r="A63" s="9"/>
      <c r="B63" s="9"/>
      <c r="C63" s="99"/>
      <c r="D63" s="9"/>
      <c r="E63" s="9"/>
      <c r="F63" s="11"/>
      <c r="I63" s="12"/>
    </row>
    <row r="64" spans="1:9" s="2" customFormat="1" x14ac:dyDescent="0.2">
      <c r="A64" s="9"/>
      <c r="B64" s="9"/>
      <c r="C64" s="99"/>
      <c r="D64" s="9"/>
      <c r="E64" s="9"/>
      <c r="F64" s="11"/>
      <c r="I64" s="12"/>
    </row>
    <row r="65" spans="1:9" s="2" customFormat="1" x14ac:dyDescent="0.2">
      <c r="A65" s="9"/>
      <c r="B65" s="9"/>
      <c r="C65" s="99"/>
      <c r="D65" s="9"/>
      <c r="E65" s="9"/>
      <c r="F65" s="11"/>
      <c r="I65" s="12"/>
    </row>
    <row r="66" spans="1:9" s="2" customFormat="1" x14ac:dyDescent="0.2">
      <c r="A66" s="9"/>
      <c r="B66" s="9"/>
      <c r="C66" s="99"/>
      <c r="D66" s="9"/>
      <c r="E66" s="9"/>
      <c r="F66" s="11"/>
      <c r="I66" s="12"/>
    </row>
    <row r="67" spans="1:9" s="2" customFormat="1" x14ac:dyDescent="0.2">
      <c r="A67" s="9"/>
      <c r="B67" s="9"/>
      <c r="C67" s="99"/>
      <c r="D67" s="9"/>
      <c r="E67" s="9"/>
      <c r="F67" s="11"/>
      <c r="I67" s="12"/>
    </row>
    <row r="68" spans="1:9" s="2" customFormat="1" x14ac:dyDescent="0.2">
      <c r="A68" s="9"/>
      <c r="B68" s="9"/>
      <c r="C68" s="99"/>
      <c r="D68" s="9"/>
      <c r="E68" s="9"/>
      <c r="F68" s="11"/>
      <c r="I68" s="12"/>
    </row>
    <row r="69" spans="1:9" s="2" customFormat="1" x14ac:dyDescent="0.2">
      <c r="A69" s="9"/>
      <c r="B69" s="9"/>
      <c r="C69" s="99"/>
      <c r="D69" s="9"/>
      <c r="E69" s="9"/>
      <c r="F69" s="11"/>
      <c r="I69" s="12"/>
    </row>
    <row r="70" spans="1:9" s="2" customFormat="1" x14ac:dyDescent="0.2">
      <c r="A70" s="9"/>
      <c r="B70" s="9"/>
      <c r="C70" s="99"/>
      <c r="D70" s="9"/>
      <c r="E70" s="9"/>
      <c r="F70" s="11"/>
      <c r="I70" s="12"/>
    </row>
    <row r="71" spans="1:9" s="2" customFormat="1" x14ac:dyDescent="0.2">
      <c r="A71" s="9"/>
      <c r="B71" s="9"/>
      <c r="C71" s="99"/>
      <c r="D71" s="9"/>
      <c r="E71" s="9"/>
      <c r="F71" s="11"/>
      <c r="I71" s="12"/>
    </row>
    <row r="72" spans="1:9" s="2" customFormat="1" x14ac:dyDescent="0.2">
      <c r="A72" s="9"/>
      <c r="B72" s="9"/>
      <c r="C72" s="99"/>
      <c r="D72" s="9"/>
      <c r="E72" s="9"/>
      <c r="F72" s="11"/>
      <c r="I72" s="12"/>
    </row>
    <row r="73" spans="1:9" s="2" customFormat="1" x14ac:dyDescent="0.2">
      <c r="A73" s="9"/>
      <c r="B73" s="9"/>
      <c r="C73" s="99"/>
      <c r="D73" s="9"/>
      <c r="E73" s="9"/>
      <c r="F73" s="11"/>
      <c r="I73" s="12"/>
    </row>
    <row r="74" spans="1:9" s="2" customFormat="1" x14ac:dyDescent="0.2">
      <c r="A74" s="9"/>
      <c r="B74" s="9"/>
      <c r="C74" s="99"/>
      <c r="D74" s="9"/>
      <c r="E74" s="9"/>
      <c r="F74" s="11"/>
      <c r="I74" s="12"/>
    </row>
    <row r="75" spans="1:9" s="2" customFormat="1" x14ac:dyDescent="0.2">
      <c r="A75" s="9"/>
      <c r="B75" s="9"/>
      <c r="C75" s="99"/>
      <c r="D75" s="9"/>
      <c r="E75" s="9"/>
      <c r="F75" s="11"/>
      <c r="I75" s="12"/>
    </row>
    <row r="76" spans="1:9" s="2" customFormat="1" x14ac:dyDescent="0.2">
      <c r="A76" s="9"/>
      <c r="B76" s="9"/>
      <c r="C76" s="99"/>
      <c r="D76" s="9"/>
      <c r="E76" s="9"/>
      <c r="F76" s="11"/>
      <c r="I76" s="12"/>
    </row>
    <row r="77" spans="1:9" s="2" customFormat="1" x14ac:dyDescent="0.2">
      <c r="A77" s="9"/>
      <c r="B77" s="9"/>
      <c r="C77" s="99"/>
      <c r="D77" s="9"/>
      <c r="E77" s="9"/>
      <c r="F77" s="11"/>
      <c r="I77" s="12"/>
    </row>
    <row r="78" spans="1:9" s="2" customFormat="1" x14ac:dyDescent="0.2">
      <c r="A78" s="9"/>
      <c r="B78" s="9"/>
      <c r="C78" s="99"/>
      <c r="D78" s="9"/>
      <c r="E78" s="9"/>
      <c r="F78" s="11"/>
      <c r="I78" s="12"/>
    </row>
    <row r="79" spans="1:9" s="2" customFormat="1" x14ac:dyDescent="0.2">
      <c r="A79" s="9"/>
      <c r="B79" s="9"/>
      <c r="C79" s="99"/>
      <c r="D79" s="9"/>
      <c r="E79" s="9"/>
      <c r="F79" s="11"/>
      <c r="I79" s="12"/>
    </row>
    <row r="80" spans="1:9" s="2" customFormat="1" x14ac:dyDescent="0.2">
      <c r="A80" s="9"/>
      <c r="B80" s="9"/>
      <c r="C80" s="99"/>
      <c r="D80" s="9"/>
      <c r="E80" s="9"/>
      <c r="F80" s="11"/>
      <c r="I80" s="12"/>
    </row>
    <row r="81" spans="1:9" s="2" customFormat="1" x14ac:dyDescent="0.2">
      <c r="A81" s="9"/>
      <c r="B81" s="9"/>
      <c r="C81" s="99"/>
      <c r="D81" s="9"/>
      <c r="E81" s="9"/>
      <c r="F81" s="11"/>
      <c r="I81" s="12"/>
    </row>
    <row r="82" spans="1:9" s="2" customFormat="1" x14ac:dyDescent="0.2">
      <c r="A82" s="9"/>
      <c r="B82" s="9"/>
      <c r="C82" s="99"/>
      <c r="D82" s="9"/>
      <c r="E82" s="9"/>
      <c r="F82" s="11"/>
      <c r="I82" s="12"/>
    </row>
    <row r="83" spans="1:9" s="2" customFormat="1" x14ac:dyDescent="0.2">
      <c r="A83" s="9"/>
      <c r="B83" s="9"/>
      <c r="C83" s="99"/>
      <c r="D83" s="9"/>
      <c r="E83" s="9"/>
      <c r="F83" s="11"/>
      <c r="I83" s="12"/>
    </row>
    <row r="84" spans="1:9" s="2" customFormat="1" x14ac:dyDescent="0.2">
      <c r="A84" s="9"/>
      <c r="B84" s="9"/>
      <c r="C84" s="99"/>
      <c r="D84" s="9"/>
      <c r="E84" s="9"/>
      <c r="F84" s="11"/>
      <c r="I84" s="12"/>
    </row>
    <row r="85" spans="1:9" s="2" customFormat="1" x14ac:dyDescent="0.2">
      <c r="A85" s="9"/>
      <c r="B85" s="9"/>
      <c r="C85" s="99"/>
      <c r="D85" s="9"/>
      <c r="E85" s="9"/>
      <c r="F85" s="11"/>
      <c r="I85" s="12"/>
    </row>
    <row r="86" spans="1:9" s="2" customFormat="1" x14ac:dyDescent="0.2">
      <c r="A86" s="9"/>
      <c r="B86" s="9"/>
      <c r="C86" s="99"/>
      <c r="D86" s="9"/>
      <c r="E86" s="9"/>
      <c r="F86" s="11"/>
      <c r="I86" s="12"/>
    </row>
    <row r="87" spans="1:9" s="2" customFormat="1" x14ac:dyDescent="0.2">
      <c r="A87" s="9"/>
      <c r="B87" s="9"/>
      <c r="C87" s="99"/>
      <c r="D87" s="9"/>
      <c r="E87" s="9"/>
      <c r="F87" s="11"/>
      <c r="I87" s="12"/>
    </row>
    <row r="88" spans="1:9" s="2" customFormat="1" x14ac:dyDescent="0.2">
      <c r="A88" s="9"/>
      <c r="B88" s="9"/>
      <c r="C88" s="99"/>
      <c r="D88" s="9"/>
      <c r="E88" s="9"/>
      <c r="F88" s="11"/>
      <c r="I88" s="12"/>
    </row>
    <row r="89" spans="1:9" s="2" customFormat="1" x14ac:dyDescent="0.2">
      <c r="A89" s="9"/>
      <c r="B89" s="9"/>
      <c r="C89" s="99"/>
      <c r="D89" s="9"/>
      <c r="E89" s="9"/>
      <c r="F89" s="11"/>
      <c r="I89" s="12"/>
    </row>
    <row r="90" spans="1:9" s="2" customFormat="1" x14ac:dyDescent="0.2">
      <c r="A90" s="9"/>
      <c r="B90" s="9"/>
      <c r="C90" s="99"/>
      <c r="D90" s="9"/>
      <c r="E90" s="9"/>
      <c r="F90" s="11"/>
      <c r="I90" s="12"/>
    </row>
    <row r="91" spans="1:9" s="2" customFormat="1" x14ac:dyDescent="0.2">
      <c r="A91" s="9"/>
      <c r="B91" s="9"/>
      <c r="C91" s="99"/>
      <c r="D91" s="9"/>
      <c r="E91" s="9"/>
      <c r="F91" s="11"/>
      <c r="I91" s="12"/>
    </row>
    <row r="92" spans="1:9" s="2" customFormat="1" x14ac:dyDescent="0.2">
      <c r="A92" s="9"/>
      <c r="B92" s="9"/>
      <c r="C92" s="99"/>
      <c r="D92" s="9"/>
      <c r="E92" s="9"/>
      <c r="F92" s="11"/>
      <c r="I92" s="12"/>
    </row>
    <row r="93" spans="1:9" s="2" customFormat="1" x14ac:dyDescent="0.2">
      <c r="A93" s="9"/>
      <c r="B93" s="9"/>
      <c r="C93" s="99"/>
      <c r="D93" s="9"/>
      <c r="E93" s="9"/>
      <c r="F93" s="11"/>
      <c r="I93" s="12"/>
    </row>
    <row r="94" spans="1:9" s="2" customFormat="1" x14ac:dyDescent="0.2">
      <c r="A94" s="9"/>
      <c r="B94" s="9"/>
      <c r="C94" s="99"/>
      <c r="D94" s="9"/>
      <c r="E94" s="9"/>
      <c r="F94" s="11"/>
      <c r="I94" s="12"/>
    </row>
    <row r="95" spans="1:9" s="2" customFormat="1" x14ac:dyDescent="0.2">
      <c r="A95" s="9"/>
      <c r="B95" s="9"/>
      <c r="C95" s="99"/>
      <c r="D95" s="9"/>
      <c r="E95" s="9"/>
      <c r="F95" s="11"/>
      <c r="I95" s="12"/>
    </row>
    <row r="96" spans="1:9" s="2" customFormat="1" x14ac:dyDescent="0.2">
      <c r="A96" s="9"/>
      <c r="B96" s="9"/>
      <c r="C96" s="99"/>
      <c r="D96" s="9"/>
      <c r="E96" s="9"/>
      <c r="F96" s="11"/>
    </row>
    <row r="97" spans="3:3" s="2" customFormat="1" x14ac:dyDescent="0.2">
      <c r="C97" s="100"/>
    </row>
    <row r="98" spans="3:3" s="2" customFormat="1" x14ac:dyDescent="0.2">
      <c r="C98" s="100"/>
    </row>
    <row r="99" spans="3:3" s="2" customFormat="1" x14ac:dyDescent="0.2">
      <c r="C99" s="100"/>
    </row>
    <row r="100" spans="3:3" s="2" customFormat="1" x14ac:dyDescent="0.2">
      <c r="C100" s="100"/>
    </row>
    <row r="101" spans="3:3" s="2" customFormat="1" x14ac:dyDescent="0.2">
      <c r="C101" s="100"/>
    </row>
    <row r="102" spans="3:3" s="2" customFormat="1" x14ac:dyDescent="0.2">
      <c r="C102" s="100"/>
    </row>
    <row r="103" spans="3:3" s="2" customFormat="1" x14ac:dyDescent="0.2">
      <c r="C103" s="100"/>
    </row>
    <row r="104" spans="3:3" s="2" customFormat="1" x14ac:dyDescent="0.2">
      <c r="C104" s="100"/>
    </row>
    <row r="105" spans="3:3" s="2" customFormat="1" x14ac:dyDescent="0.2">
      <c r="C105" s="100"/>
    </row>
    <row r="106" spans="3:3" s="2" customFormat="1" x14ac:dyDescent="0.2">
      <c r="C106" s="100"/>
    </row>
    <row r="107" spans="3:3" s="2" customFormat="1" x14ac:dyDescent="0.2">
      <c r="C107" s="100"/>
    </row>
    <row r="108" spans="3:3" s="2" customFormat="1" x14ac:dyDescent="0.2">
      <c r="C108" s="100"/>
    </row>
    <row r="109" spans="3:3" s="2" customFormat="1" x14ac:dyDescent="0.2">
      <c r="C109" s="100"/>
    </row>
    <row r="110" spans="3:3" s="2" customFormat="1" x14ac:dyDescent="0.2">
      <c r="C110" s="100"/>
    </row>
    <row r="111" spans="3:3" s="2" customFormat="1" x14ac:dyDescent="0.2">
      <c r="C111" s="100"/>
    </row>
    <row r="112" spans="3:3" s="2" customFormat="1" x14ac:dyDescent="0.2">
      <c r="C112" s="100"/>
    </row>
    <row r="113" spans="1:12" s="2" customFormat="1" x14ac:dyDescent="0.2">
      <c r="C113" s="100"/>
    </row>
    <row r="114" spans="1:12" s="2" customFormat="1" x14ac:dyDescent="0.2">
      <c r="C114" s="100"/>
    </row>
    <row r="115" spans="1:12" s="2" customFormat="1" x14ac:dyDescent="0.2">
      <c r="C115" s="100"/>
    </row>
    <row r="116" spans="1:12" s="2" customFormat="1" x14ac:dyDescent="0.2">
      <c r="C116" s="100"/>
    </row>
    <row r="117" spans="1:12" s="2" customFormat="1" x14ac:dyDescent="0.2">
      <c r="C117" s="100"/>
    </row>
    <row r="118" spans="1:12" s="2" customFormat="1" x14ac:dyDescent="0.2">
      <c r="C118" s="100"/>
    </row>
    <row r="119" spans="1:12" s="2" customFormat="1" x14ac:dyDescent="0.2">
      <c r="C119" s="100"/>
    </row>
    <row r="120" spans="1:12" s="2" customFormat="1" x14ac:dyDescent="0.2">
      <c r="C120" s="100"/>
    </row>
    <row r="121" spans="1:12" s="2" customFormat="1" x14ac:dyDescent="0.2">
      <c r="C121" s="100"/>
    </row>
    <row r="122" spans="1:12" s="2" customFormat="1" x14ac:dyDescent="0.2">
      <c r="C122" s="100"/>
    </row>
    <row r="123" spans="1:12" s="2" customFormat="1" x14ac:dyDescent="0.2">
      <c r="C123" s="100"/>
    </row>
    <row r="124" spans="1:12" s="2" customFormat="1" x14ac:dyDescent="0.2">
      <c r="C124" s="100"/>
    </row>
    <row r="125" spans="1:12" s="2" customFormat="1" x14ac:dyDescent="0.2">
      <c r="C125" s="100"/>
    </row>
    <row r="126" spans="1:12" s="2" customFormat="1" x14ac:dyDescent="0.2">
      <c r="C126" s="100"/>
    </row>
    <row r="127" spans="1:12" s="2" customFormat="1" x14ac:dyDescent="0.2">
      <c r="C127" s="100"/>
    </row>
    <row r="128" spans="1:12" x14ac:dyDescent="0.2">
      <c r="A128" s="2"/>
      <c r="B128" s="2"/>
      <c r="C128" s="100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">
      <c r="A129" s="2"/>
      <c r="B129" s="2"/>
      <c r="C129" s="100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">
      <c r="A130" s="2"/>
      <c r="B130" s="2"/>
      <c r="C130" s="100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">
      <c r="A131" s="2"/>
      <c r="B131" s="2"/>
      <c r="C131" s="100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">
      <c r="A132" s="2"/>
      <c r="B132" s="2"/>
      <c r="C132" s="100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">
      <c r="A133" s="2"/>
      <c r="B133" s="2"/>
      <c r="C133" s="100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">
      <c r="A134" s="2"/>
      <c r="B134" s="2"/>
      <c r="C134" s="100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">
      <c r="A135" s="2"/>
      <c r="B135" s="2"/>
      <c r="C135" s="100"/>
      <c r="D135" s="2"/>
      <c r="E135" s="2"/>
      <c r="F135" s="2"/>
      <c r="G135" s="2"/>
      <c r="H135" s="2"/>
      <c r="I135" s="2"/>
    </row>
    <row r="136" spans="1:12" x14ac:dyDescent="0.2">
      <c r="A136" s="2"/>
      <c r="B136" s="2"/>
      <c r="C136" s="100"/>
      <c r="D136" s="2"/>
      <c r="E136" s="2"/>
      <c r="F136" s="2"/>
      <c r="G136" s="2"/>
      <c r="H136" s="2"/>
      <c r="I136" s="2"/>
    </row>
    <row r="137" spans="1:12" x14ac:dyDescent="0.2">
      <c r="A137" s="2"/>
      <c r="B137" s="2"/>
      <c r="C137" s="100"/>
      <c r="D137" s="2"/>
      <c r="E137" s="2"/>
      <c r="F137" s="2"/>
    </row>
  </sheetData>
  <sheetProtection selectLockedCells="1"/>
  <mergeCells count="5">
    <mergeCell ref="A2:L2"/>
    <mergeCell ref="M4:O4"/>
    <mergeCell ref="A18:K18"/>
    <mergeCell ref="A19:K19"/>
    <mergeCell ref="A20:K20"/>
  </mergeCells>
  <conditionalFormatting sqref="A13:B17 B12 A21:B1048576 D12:L17 M6:XFD1048576 D22:L1048576 D21:G21 L18:L21 A18:A20">
    <cfRule type="expression" dxfId="28" priority="13">
      <formula>CELL("Schutz",A6)=0</formula>
    </cfRule>
  </conditionalFormatting>
  <conditionalFormatting sqref="A4:B4 D4:E4 L4:M4 P4:XFD4">
    <cfRule type="expression" dxfId="27" priority="6">
      <formula>CELL("Schutz",A4)=0</formula>
    </cfRule>
  </conditionalFormatting>
  <conditionalFormatting sqref="A2 F3:XFD3 M2:XFD2">
    <cfRule type="expression" dxfId="26" priority="5">
      <formula>CELL("Schutz",A2)=0</formula>
    </cfRule>
  </conditionalFormatting>
  <conditionalFormatting sqref="F4:G4">
    <cfRule type="expression" dxfId="25" priority="4">
      <formula>CELL("Schutz",F4)=0</formula>
    </cfRule>
  </conditionalFormatting>
  <conditionalFormatting sqref="A12">
    <cfRule type="expression" dxfId="24" priority="2">
      <formula>CELL("Schutz",A12)=0</formula>
    </cfRule>
  </conditionalFormatting>
  <conditionalFormatting sqref="J5:J11">
    <cfRule type="cellIs" dxfId="23" priority="1" operator="greaterThan">
      <formula>1</formula>
    </cfRule>
  </conditionalFormatting>
  <pageMargins left="0.7" right="0.7" top="0.78740157499999996" bottom="0.78740157499999996" header="0.3" footer="0.3"/>
  <pageSetup paperSize="9" scale="93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Jahresübersicht</vt:lpstr>
      <vt:lpstr>Amb. FB</vt:lpstr>
      <vt:lpstr>Amb. Ausz</vt:lpstr>
      <vt:lpstr>Amb. Ausz mon.</vt:lpstr>
      <vt:lpstr>TaPf. FB</vt:lpstr>
      <vt:lpstr>TaPf Ausz.</vt:lpstr>
      <vt:lpstr>TaPf. Ausz. Mon.</vt:lpstr>
      <vt:lpstr>Sol. KzP</vt:lpstr>
    </vt:vector>
  </TitlesOfParts>
  <Company>IT.Niedersachsen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Schmitt, Volker (MS)</dc:creator>
  <cp:lastModifiedBy>Schierloh, Tim (MS)</cp:lastModifiedBy>
  <cp:lastPrinted>2020-07-23T08:10:30Z</cp:lastPrinted>
  <dcterms:created xsi:type="dcterms:W3CDTF">2020-07-21T13:05:27Z</dcterms:created>
  <dcterms:modified xsi:type="dcterms:W3CDTF">2025-02-24T09:04:16Z</dcterms:modified>
</cp:coreProperties>
</file>