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ierlohTimMS\Desktop\"/>
    </mc:Choice>
  </mc:AlternateContent>
  <xr:revisionPtr revIDLastSave="0" documentId="13_ncr:1_{A7D545E3-AF52-4592-8680-EB7FD8028D89}" xr6:coauthVersionLast="47" xr6:coauthVersionMax="47" xr10:uidLastSave="{00000000-0000-0000-0000-000000000000}"/>
  <workbookProtection workbookAlgorithmName="SHA-512" workbookHashValue="bPfT0Rz5HjdFKxIOPjubtxFawnB1CU2/kTYRTn4xomov/2v06EbBXmJQEDxie/5ixY281atqVC3Qys7US0BNiA==" workbookSaltValue="3j+U6NvNx/N+iEDm5UByUg==" workbookSpinCount="100000" lockStructure="1"/>
  <bookViews>
    <workbookView xWindow="28680" yWindow="-120" windowWidth="29040" windowHeight="17520" activeTab="1" xr2:uid="{6FAF45D7-AA87-4116-869B-30CD6B029FDA}"/>
  </bookViews>
  <sheets>
    <sheet name="A - Stammdaten" sheetId="1" r:id="rId1"/>
    <sheet name="B - AfA-Berechnung" sheetId="2" r:id="rId2"/>
    <sheet name="C - Berechnung Tagessatz" sheetId="4" r:id="rId3"/>
    <sheet name="X - Changelog" sheetId="6" r:id="rId4"/>
    <sheet name="Z - Settings" sheetId="3" r:id="rId5"/>
  </sheets>
  <definedNames>
    <definedName name="einr_art">'Z - Settings'!$G$1:$G$2</definedName>
    <definedName name="immo_Anlagegut">tbl_immo[Anlagegut]</definedName>
    <definedName name="inv_art">'Z - Settings'!$D$5:$D$7</definedName>
    <definedName name="inv_mod">'Z - Settings'!$D$1:$D$2</definedName>
    <definedName name="Jahresmie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G6" i="2" s="1"/>
  <c r="D21" i="4"/>
  <c r="D20" i="4"/>
  <c r="E22" i="4" s="1"/>
  <c r="E18" i="2"/>
  <c r="E19" i="2"/>
  <c r="E20" i="2"/>
  <c r="E21" i="2"/>
  <c r="E22" i="2"/>
  <c r="E23" i="2"/>
  <c r="E24" i="2"/>
  <c r="E25" i="2"/>
  <c r="E26" i="2"/>
  <c r="E27" i="2"/>
  <c r="E12" i="2"/>
  <c r="E13" i="2"/>
  <c r="B22" i="1"/>
  <c r="B21" i="1"/>
  <c r="D4" i="2"/>
  <c r="D33" i="2"/>
  <c r="J12" i="2" l="1"/>
  <c r="I18" i="2"/>
  <c r="I19" i="2"/>
  <c r="I20" i="2"/>
  <c r="I21" i="2"/>
  <c r="I22" i="2"/>
  <c r="I23" i="2"/>
  <c r="I24" i="2"/>
  <c r="I25" i="2"/>
  <c r="I26" i="2"/>
  <c r="I27" i="2"/>
  <c r="G4" i="2"/>
  <c r="H20" i="2"/>
  <c r="H21" i="2"/>
  <c r="H22" i="2"/>
  <c r="H23" i="2"/>
  <c r="H24" i="2"/>
  <c r="H25" i="2"/>
  <c r="H26" i="2"/>
  <c r="H27" i="2"/>
  <c r="J13" i="2" l="1"/>
  <c r="I13" i="2"/>
  <c r="E32" i="4"/>
  <c r="E30" i="4"/>
  <c r="E28" i="4"/>
  <c r="H18" i="2"/>
  <c r="H19" i="2"/>
  <c r="I12" i="2"/>
  <c r="K13" i="2" l="1"/>
  <c r="L13" i="2" s="1"/>
  <c r="J26" i="2"/>
  <c r="K26" i="2" s="1"/>
  <c r="J27" i="2"/>
  <c r="K27" i="2" s="1"/>
  <c r="J20" i="2"/>
  <c r="K20" i="2" s="1"/>
  <c r="J21" i="2"/>
  <c r="K21" i="2" s="1"/>
  <c r="J24" i="2"/>
  <c r="K24" i="2" s="1"/>
  <c r="J25" i="2"/>
  <c r="K25" i="2" s="1"/>
  <c r="J22" i="2"/>
  <c r="K22" i="2" s="1"/>
  <c r="J23" i="2"/>
  <c r="K23" i="2" s="1"/>
  <c r="D1" i="4"/>
  <c r="A1" i="4"/>
  <c r="P13" i="2" l="1"/>
  <c r="D1" i="1"/>
  <c r="A1" i="1"/>
  <c r="D1" i="2" l="1"/>
  <c r="D32" i="2" s="1"/>
  <c r="E18" i="4" s="1"/>
  <c r="A1" i="2"/>
  <c r="M13" i="2" l="1"/>
  <c r="L24" i="2"/>
  <c r="O24" i="2" s="1"/>
  <c r="L25" i="2"/>
  <c r="O25" i="2" s="1"/>
  <c r="L26" i="2"/>
  <c r="O26" i="2" s="1"/>
  <c r="L27" i="2"/>
  <c r="O27" i="2" s="1"/>
  <c r="L20" i="2"/>
  <c r="O20" i="2" s="1"/>
  <c r="L22" i="2"/>
  <c r="O22" i="2" s="1"/>
  <c r="L23" i="2"/>
  <c r="O23" i="2" s="1"/>
  <c r="L21" i="2"/>
  <c r="O21" i="2" s="1"/>
  <c r="Q13" i="2" l="1"/>
  <c r="O13" i="2"/>
  <c r="N13" i="2"/>
  <c r="N22" i="2"/>
  <c r="M22" i="2"/>
  <c r="P22" i="2"/>
  <c r="M23" i="2"/>
  <c r="N23" i="2"/>
  <c r="P23" i="2"/>
  <c r="M20" i="2"/>
  <c r="N20" i="2"/>
  <c r="P20" i="2"/>
  <c r="N25" i="2"/>
  <c r="P25" i="2"/>
  <c r="M25" i="2"/>
  <c r="P21" i="2"/>
  <c r="N21" i="2"/>
  <c r="M21" i="2"/>
  <c r="P27" i="2"/>
  <c r="N27" i="2"/>
  <c r="M27" i="2"/>
  <c r="M26" i="2"/>
  <c r="N26" i="2"/>
  <c r="N24" i="2"/>
  <c r="M24" i="2"/>
  <c r="P26" i="2"/>
  <c r="P24" i="2"/>
  <c r="K12" i="2"/>
  <c r="L12" i="2" s="1"/>
  <c r="P12" i="2" s="1"/>
  <c r="J18" i="2"/>
  <c r="K18" i="2" s="1"/>
  <c r="J19" i="2"/>
  <c r="K19" i="2" s="1"/>
  <c r="E17" i="4" l="1"/>
  <c r="M12" i="2"/>
  <c r="L18" i="2"/>
  <c r="O18" i="2" s="1"/>
  <c r="L19" i="2"/>
  <c r="O19" i="2" s="1"/>
  <c r="O12" i="2" l="1"/>
  <c r="Q12" i="2"/>
  <c r="E16" i="4" s="1"/>
  <c r="N12" i="2"/>
  <c r="E7" i="4" s="1"/>
  <c r="M19" i="2"/>
  <c r="N19" i="2"/>
  <c r="P19" i="2"/>
  <c r="M18" i="2"/>
  <c r="N18" i="2"/>
  <c r="P18" i="2"/>
  <c r="E14" i="4"/>
  <c r="E13" i="4"/>
  <c r="E10" i="4" l="1"/>
  <c r="E11" i="4"/>
  <c r="E8" i="4"/>
  <c r="E26" i="4" l="1"/>
  <c r="E34" i="4" s="1"/>
</calcChain>
</file>

<file path=xl/sharedStrings.xml><?xml version="1.0" encoding="utf-8"?>
<sst xmlns="http://schemas.openxmlformats.org/spreadsheetml/2006/main" count="163" uniqueCount="118">
  <si>
    <t>Name der Einrichtung</t>
  </si>
  <si>
    <t>Adresse</t>
  </si>
  <si>
    <t>PLZ, Ort</t>
  </si>
  <si>
    <t>Anzahl der Plätze</t>
  </si>
  <si>
    <t>-</t>
  </si>
  <si>
    <t>Anlagegut</t>
  </si>
  <si>
    <t>Anschaffungswert</t>
  </si>
  <si>
    <t>Zinsaufschlag FK</t>
  </si>
  <si>
    <t>Zinsaufschlag EK</t>
  </si>
  <si>
    <t>Höchstbetrag teilstat</t>
  </si>
  <si>
    <t>Höchstbetrag KZP</t>
  </si>
  <si>
    <t>Höchstbetrag Modernisierung teilstat</t>
  </si>
  <si>
    <t>Höchstbetrag Modernisierung KZP</t>
  </si>
  <si>
    <t>Kürzung wg. Höchstbetrag</t>
  </si>
  <si>
    <t>Investitionen</t>
  </si>
  <si>
    <t>Höchstbetrag Förderung für:</t>
  </si>
  <si>
    <t>Kürzung in %:</t>
  </si>
  <si>
    <t>Summe Anschaffungswerte:</t>
  </si>
  <si>
    <t>förderfähig</t>
  </si>
  <si>
    <t>förderfähige Abschreibungen</t>
  </si>
  <si>
    <t>Stammdaten - Investitionskostenberechnung nach dem NPflegeG</t>
  </si>
  <si>
    <t>Abschreibungen - Investitionskostenberechnung nach dem NPflegeG</t>
  </si>
  <si>
    <t>Nur Modernisierung</t>
  </si>
  <si>
    <t>Tagessatz - Investitionskostenberechnung nach dem NPflegeG</t>
  </si>
  <si>
    <t xml:space="preserve"> </t>
  </si>
  <si>
    <t>Eigentum</t>
  </si>
  <si>
    <t>Investitionsart</t>
  </si>
  <si>
    <t>Jahr</t>
  </si>
  <si>
    <t>1. Stammdaten</t>
  </si>
  <si>
    <t>2. Immobiles Anlagevermögen</t>
  </si>
  <si>
    <t>3. Sonstiges Anlagevermögen</t>
  </si>
  <si>
    <t>Zinsen für Fremdkapital für</t>
  </si>
  <si>
    <t>Sonstiges Anlagevermögen</t>
  </si>
  <si>
    <t>Fremdkapital-anteil</t>
  </si>
  <si>
    <t>Fremdkapital-zinssatz</t>
  </si>
  <si>
    <t>Jahresmiete</t>
  </si>
  <si>
    <t>Grundstückswert</t>
  </si>
  <si>
    <t>JVW/10</t>
  </si>
  <si>
    <t>Gebäude</t>
  </si>
  <si>
    <t>förderfähige Zinsen EK</t>
  </si>
  <si>
    <t>förderfähige Zinsen FK</t>
  </si>
  <si>
    <t>Abschreibungen</t>
  </si>
  <si>
    <t>Miete / Pacht / Leasing</t>
  </si>
  <si>
    <t>Instandhaltungspauschale</t>
  </si>
  <si>
    <t>Pauschale je Platz</t>
  </si>
  <si>
    <t>Zahl der Pflegeplätze</t>
  </si>
  <si>
    <t>Art der Pflegeeinrichtung</t>
  </si>
  <si>
    <t>Tagespflege</t>
  </si>
  <si>
    <t>Kurzzeitpflege</t>
  </si>
  <si>
    <t>Summe der förderfähigen Aufwendungen</t>
  </si>
  <si>
    <t>Anzahl der Pflegeplätze</t>
  </si>
  <si>
    <t>Zinsen für Eigenkapital für</t>
  </si>
  <si>
    <t>Tagesbetrag</t>
  </si>
  <si>
    <t>Zinsgrenze FK</t>
  </si>
  <si>
    <t>Zinsgrenze EK</t>
  </si>
  <si>
    <t>Nutzungsdauer</t>
  </si>
  <si>
    <t>Fremdkapitalanteil</t>
  </si>
  <si>
    <t>Einstellungsseite - Keine Veränderungen vornehmen!</t>
  </si>
  <si>
    <t>Förderjahr</t>
  </si>
  <si>
    <t>Bewilligungszeitraum</t>
  </si>
  <si>
    <t>förderfähige Miete</t>
  </si>
  <si>
    <t>Haus zur Sonne</t>
  </si>
  <si>
    <t>Kümmerstraße 3</t>
  </si>
  <si>
    <t>12345 Pflegestadt</t>
  </si>
  <si>
    <t>Gebäude 1</t>
  </si>
  <si>
    <t>Garage</t>
  </si>
  <si>
    <t>Küche</t>
  </si>
  <si>
    <t>Sitzgruppen</t>
  </si>
  <si>
    <t>PC Plätze</t>
  </si>
  <si>
    <t>PKW H-MS 123</t>
  </si>
  <si>
    <t>PKW H-MS 124</t>
  </si>
  <si>
    <t>PKW H-MS 125</t>
  </si>
  <si>
    <t>Ruhesessel</t>
  </si>
  <si>
    <t>Pflegebeetten</t>
  </si>
  <si>
    <t>PKW H MS 234</t>
  </si>
  <si>
    <t>Brandmeldeanlage</t>
  </si>
  <si>
    <t>Basiszins</t>
  </si>
  <si>
    <t>Höhe</t>
  </si>
  <si>
    <t>Datum</t>
  </si>
  <si>
    <t>Jahresleasingkosten</t>
  </si>
  <si>
    <t>förderfähiges Leasing</t>
  </si>
  <si>
    <t>Anzahl Pflegeplätze</t>
  </si>
  <si>
    <t>Miete/Leasing</t>
  </si>
  <si>
    <t>Öffnungstage im Bewilligungszeitraum</t>
  </si>
  <si>
    <t>Auslastungsquote</t>
  </si>
  <si>
    <t>4. Sachwertgutachten</t>
  </si>
  <si>
    <t>Jahr Gutachten</t>
  </si>
  <si>
    <t>Sachwertgutachten Garage</t>
  </si>
  <si>
    <t>Anzurechnen</t>
  </si>
  <si>
    <t>Sachwertgutachten</t>
  </si>
  <si>
    <t>Blaue Felder sind für auszufüllen, graue Felder berechnen sich automatisch.</t>
  </si>
  <si>
    <t>Neue Zeilen können mit der Tab-Taste (↹) am Ende einer Zeile hinzugefügt werden.
Alle übernommenen Werte müssen auf Plausibilität überprüft werden (z. B. bzgl. Abschreibungszeiträumen)</t>
  </si>
  <si>
    <t>5. Förderfähige Aufwendungen</t>
  </si>
  <si>
    <t>6. Maßgeblicher Tagesbetrag</t>
  </si>
  <si>
    <t>Kalkulationstabelle des MS</t>
  </si>
  <si>
    <t>Stand:</t>
  </si>
  <si>
    <t>Kalkulationshilfe zur</t>
  </si>
  <si>
    <t>Investitionskostenberechnung nach §10 NPflegeG</t>
  </si>
  <si>
    <t>© 2024 Niedersächsisches Ministerium für Soziales,
Arbeit, Gesundheit und Gleichstellung</t>
  </si>
  <si>
    <t>Version</t>
  </si>
  <si>
    <t>1.1</t>
  </si>
  <si>
    <t>Changelog</t>
  </si>
  <si>
    <t>Änderungen</t>
  </si>
  <si>
    <t>1.0</t>
  </si>
  <si>
    <t>Ursprüngliche Version nach Rückmeldungen aus der Infoveranstaltung am 11.06.2024</t>
  </si>
  <si>
    <t>- AfA-Berechnung: Grundstückswert wurde nicht korrekt in den Gesamt-Sachwert einbezogen
- AfA-Berechnung: Neue Formel für den Jahresvergleichswert zur Verbesserung der Kompatibilität, Alte Berechnung basierte auf einer nur in Excel 2021 verfügbaren Funktion</t>
  </si>
  <si>
    <t>Version:</t>
  </si>
  <si>
    <t>Änderungen siehe Blatt X - Changelog</t>
  </si>
  <si>
    <t>- Klarere Formulierung Jahr / Basiszins - Hier ist das Jahr der erstmaligen Antragstellung für das Investitionsgut zu verwenden</t>
  </si>
  <si>
    <t>1.1.1</t>
  </si>
  <si>
    <t>Jährliche Öffnungstage</t>
  </si>
  <si>
    <t>1.2</t>
  </si>
  <si>
    <t>Berechnungsmodus</t>
  </si>
  <si>
    <t>Förderung</t>
  </si>
  <si>
    <t>gesonderte Berechnung</t>
  </si>
  <si>
    <t>- Anpassung in der Berechnung der Investitionsaufwendungen, direkter Bezug auf den Basiswert pro Platz
- Entfernung des Abschnitts "Gesonderte Berechnung" aufgrund von Ungenauigkeiten in der Berechnung. Die gesonderte Berechnung muss nun manuell auf dem Blatt C ausgewählt werden.</t>
  </si>
  <si>
    <t xml:space="preserve">ACHTUNG! </t>
  </si>
  <si>
    <t>Bei der gesonderten Berechnung ist der geförderte Tagesbetrag noch abzuziehen!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</si>
</sst>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 tint="-0.499984740745262"/>
      <name val="Segoe UI"/>
      <family val="2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1" xfId="0" applyNumberFormat="1" applyBorder="1" applyAlignment="1">
      <alignment horizontal="center"/>
    </xf>
    <xf numFmtId="44" fontId="0" fillId="0" borderId="0" xfId="1" applyFont="1"/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44" fontId="0" fillId="0" borderId="0" xfId="0" applyNumberForma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/>
    <xf numFmtId="10" fontId="4" fillId="4" borderId="0" xfId="0" applyNumberFormat="1" applyFont="1" applyFill="1"/>
    <xf numFmtId="44" fontId="5" fillId="4" borderId="0" xfId="0" applyNumberFormat="1" applyFont="1" applyFill="1" applyAlignment="1">
      <alignment horizontal="right"/>
    </xf>
    <xf numFmtId="44" fontId="5" fillId="0" borderId="0" xfId="0" applyNumberFormat="1" applyFont="1" applyAlignment="1">
      <alignment horizontal="right"/>
    </xf>
    <xf numFmtId="44" fontId="5" fillId="4" borderId="0" xfId="0" applyNumberFormat="1" applyFont="1" applyFill="1"/>
    <xf numFmtId="10" fontId="5" fillId="4" borderId="0" xfId="2" applyNumberFormat="1" applyFont="1" applyFill="1"/>
    <xf numFmtId="9" fontId="4" fillId="4" borderId="0" xfId="0" applyNumberFormat="1" applyFont="1" applyFill="1"/>
    <xf numFmtId="44" fontId="4" fillId="4" borderId="0" xfId="1" applyFont="1" applyFill="1"/>
    <xf numFmtId="0" fontId="0" fillId="0" borderId="0" xfId="0" applyAlignment="1"/>
    <xf numFmtId="0" fontId="0" fillId="4" borderId="0" xfId="0" applyFill="1"/>
    <xf numFmtId="44" fontId="0" fillId="4" borderId="0" xfId="1" applyFont="1" applyFill="1"/>
    <xf numFmtId="44" fontId="4" fillId="4" borderId="0" xfId="0" applyNumberFormat="1" applyFont="1" applyFill="1"/>
    <xf numFmtId="9" fontId="4" fillId="3" borderId="0" xfId="2" applyFont="1" applyFill="1"/>
    <xf numFmtId="44" fontId="0" fillId="0" borderId="4" xfId="1" applyFont="1" applyBorder="1" applyAlignment="1"/>
    <xf numFmtId="0" fontId="1" fillId="0" borderId="0" xfId="0" applyFont="1" applyFill="1" applyBorder="1"/>
    <xf numFmtId="44" fontId="1" fillId="0" borderId="0" xfId="1" applyFont="1" applyFill="1" applyBorder="1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0" xfId="0" applyBorder="1" applyAlignment="1"/>
    <xf numFmtId="0" fontId="1" fillId="2" borderId="5" xfId="0" applyFont="1" applyFill="1" applyBorder="1"/>
    <xf numFmtId="0" fontId="0" fillId="2" borderId="5" xfId="0" applyFill="1" applyBorder="1"/>
    <xf numFmtId="44" fontId="0" fillId="2" borderId="5" xfId="1" applyFont="1" applyFill="1" applyBorder="1"/>
    <xf numFmtId="44" fontId="1" fillId="2" borderId="5" xfId="1" applyFont="1" applyFill="1" applyBorder="1"/>
    <xf numFmtId="44" fontId="0" fillId="0" borderId="6" xfId="1" applyFont="1" applyBorder="1" applyAlignment="1"/>
    <xf numFmtId="44" fontId="0" fillId="0" borderId="1" xfId="1" applyFont="1" applyBorder="1" applyAlignment="1"/>
    <xf numFmtId="0" fontId="0" fillId="0" borderId="4" xfId="0" applyBorder="1"/>
    <xf numFmtId="44" fontId="0" fillId="0" borderId="4" xfId="1" applyFont="1" applyBorder="1"/>
    <xf numFmtId="0" fontId="4" fillId="4" borderId="4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0" fillId="4" borderId="4" xfId="0" applyFill="1" applyBorder="1"/>
    <xf numFmtId="44" fontId="0" fillId="4" borderId="4" xfId="1" applyFont="1" applyFill="1" applyBorder="1"/>
    <xf numFmtId="44" fontId="0" fillId="0" borderId="1" xfId="1" applyFont="1" applyBorder="1"/>
    <xf numFmtId="1" fontId="0" fillId="0" borderId="1" xfId="1" applyNumberFormat="1" applyFont="1" applyBorder="1"/>
    <xf numFmtId="9" fontId="0" fillId="0" borderId="1" xfId="1" applyNumberFormat="1" applyFont="1" applyBorder="1"/>
    <xf numFmtId="0" fontId="1" fillId="0" borderId="7" xfId="0" applyFont="1" applyBorder="1"/>
    <xf numFmtId="44" fontId="1" fillId="0" borderId="7" xfId="1" applyFont="1" applyBorder="1"/>
    <xf numFmtId="0" fontId="4" fillId="4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8" xfId="0" applyBorder="1"/>
    <xf numFmtId="0" fontId="0" fillId="0" borderId="8" xfId="0" applyNumberFormat="1" applyBorder="1"/>
    <xf numFmtId="0" fontId="8" fillId="0" borderId="0" xfId="0" applyFont="1"/>
    <xf numFmtId="10" fontId="4" fillId="3" borderId="0" xfId="2" applyNumberFormat="1" applyFont="1" applyFill="1"/>
    <xf numFmtId="9" fontId="4" fillId="3" borderId="0" xfId="2" applyNumberFormat="1" applyFont="1" applyFill="1"/>
    <xf numFmtId="0" fontId="5" fillId="4" borderId="0" xfId="0" applyFont="1" applyFill="1" applyBorder="1"/>
    <xf numFmtId="0" fontId="4" fillId="4" borderId="0" xfId="0" applyFont="1" applyFill="1" applyBorder="1"/>
    <xf numFmtId="10" fontId="9" fillId="4" borderId="0" xfId="0" applyNumberFormat="1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1" fontId="5" fillId="4" borderId="0" xfId="2" applyNumberFormat="1" applyFont="1" applyFill="1"/>
    <xf numFmtId="0" fontId="0" fillId="0" borderId="2" xfId="0" applyBorder="1" applyAlignment="1">
      <alignment wrapText="1"/>
    </xf>
    <xf numFmtId="0" fontId="0" fillId="5" borderId="0" xfId="0" applyFill="1"/>
    <xf numFmtId="44" fontId="0" fillId="5" borderId="0" xfId="1" applyFont="1" applyFill="1"/>
    <xf numFmtId="10" fontId="0" fillId="5" borderId="0" xfId="2" applyNumberFormat="1" applyFont="1" applyFill="1"/>
    <xf numFmtId="1" fontId="6" fillId="5" borderId="0" xfId="0" applyNumberFormat="1" applyFont="1" applyFill="1"/>
    <xf numFmtId="1" fontId="6" fillId="5" borderId="0" xfId="1" applyNumberFormat="1" applyFont="1" applyFill="1"/>
    <xf numFmtId="9" fontId="0" fillId="5" borderId="0" xfId="2" applyFont="1" applyFill="1"/>
    <xf numFmtId="9" fontId="6" fillId="5" borderId="0" xfId="2" applyFont="1" applyFill="1"/>
    <xf numFmtId="10" fontId="6" fillId="5" borderId="0" xfId="2" applyNumberFormat="1" applyFont="1" applyFill="1"/>
    <xf numFmtId="1" fontId="0" fillId="5" borderId="0" xfId="0" applyNumberFormat="1" applyFill="1"/>
    <xf numFmtId="1" fontId="0" fillId="5" borderId="0" xfId="1" applyNumberFormat="1" applyFont="1" applyFill="1"/>
    <xf numFmtId="0" fontId="0" fillId="5" borderId="0" xfId="0" applyFill="1" applyBorder="1"/>
    <xf numFmtId="44" fontId="0" fillId="5" borderId="0" xfId="1" applyFont="1" applyFill="1" applyBorder="1"/>
    <xf numFmtId="0" fontId="1" fillId="5" borderId="0" xfId="0" applyFont="1" applyFill="1" applyAlignment="1">
      <alignment horizontal="right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left"/>
    </xf>
    <xf numFmtId="49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quotePrefix="1" applyBorder="1" applyAlignment="1">
      <alignment vertical="top" wrapText="1"/>
    </xf>
    <xf numFmtId="49" fontId="0" fillId="0" borderId="4" xfId="0" applyNumberFormat="1" applyBorder="1" applyAlignment="1">
      <alignment vertical="top"/>
    </xf>
    <xf numFmtId="14" fontId="0" fillId="0" borderId="4" xfId="0" applyNumberFormat="1" applyBorder="1" applyAlignment="1">
      <alignment vertical="top"/>
    </xf>
    <xf numFmtId="49" fontId="10" fillId="0" borderId="0" xfId="0" applyNumberFormat="1" applyFont="1"/>
    <xf numFmtId="0" fontId="0" fillId="0" borderId="4" xfId="0" applyBorder="1" applyAlignment="1">
      <alignment vertical="top" wrapText="1"/>
    </xf>
    <xf numFmtId="44" fontId="4" fillId="4" borderId="4" xfId="1" applyFont="1" applyFill="1" applyBorder="1"/>
    <xf numFmtId="44" fontId="0" fillId="0" borderId="0" xfId="1" applyFont="1" applyFill="1"/>
    <xf numFmtId="0" fontId="11" fillId="0" borderId="0" xfId="0" applyFont="1" applyFill="1"/>
    <xf numFmtId="0" fontId="12" fillId="0" borderId="0" xfId="0" applyFont="1" applyFill="1"/>
    <xf numFmtId="44" fontId="12" fillId="0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5" borderId="0" xfId="0" applyFont="1" applyFill="1" applyAlignment="1">
      <alignment horizontal="left"/>
    </xf>
    <xf numFmtId="0" fontId="0" fillId="0" borderId="0" xfId="0" applyAlignment="1">
      <alignment horizontal="left" wrapText="1"/>
    </xf>
  </cellXfs>
  <cellStyles count="3">
    <cellStyle name="Prozent" xfId="2" builtinId="5"/>
    <cellStyle name="Standard" xfId="0" builtinId="0"/>
    <cellStyle name="Währung" xfId="1" builtinId="4"/>
  </cellStyles>
  <dxfs count="79">
    <dxf>
      <font>
        <color theme="1"/>
      </font>
      <fill>
        <patternFill>
          <bgColor theme="4" tint="0.79998168889431442"/>
        </patternFill>
      </fill>
    </dxf>
    <dxf>
      <font>
        <strike/>
        <color theme="4"/>
      </font>
    </dxf>
    <dxf>
      <font>
        <color rgb="FF9C5700"/>
      </font>
      <fill>
        <patternFill>
          <bgColor rgb="FFFFEB9C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0" tint="-0.499984740745262"/>
      </font>
      <fill>
        <patternFill>
          <fgColor theme="7" tint="0.79992065187536243"/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strike/>
        <color theme="4"/>
      </font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Segoe UI"/>
        <family val="2"/>
        <scheme val="none"/>
      </font>
      <numFmt numFmtId="14" formatCode="0.00%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Segoe UI"/>
        <family val="2"/>
        <scheme val="none"/>
      </font>
      <numFmt numFmtId="19" formatCode="dd/mm/yyyy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 tint="-0.499984740745262"/>
      </font>
      <fill>
        <patternFill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color theme="0" tint="-0.499984740745262"/>
      </font>
      <fill>
        <patternFill>
          <fgColor indexed="64"/>
          <bgColor theme="2" tint="-9.9978637043366805E-2"/>
        </patternFill>
      </fill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dd/mm/yyyy"/>
      <alignment horizontal="general" vertical="top" textRotation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30" formatCode="@"/>
      <alignment horizontal="general" vertical="top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alignment horizontal="general" vertical="top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3" formatCode="0%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numFmt numFmtId="1" formatCode="0"/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color auto="1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color auto="1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alignment horizontal="general" vertical="bottom" textRotation="0" wrapText="1" indent="0" justifyLastLine="0" shrinkToFit="0" readingOrder="0"/>
    </dxf>
    <dxf>
      <font>
        <color theme="0" tint="-0.499984740745262"/>
      </font>
    </dxf>
    <dxf>
      <fill>
        <patternFill patternType="solid">
          <fgColor theme="6" tint="0.79998168889431442"/>
          <bgColor theme="6" tint="0.79998168889431442"/>
        </patternFill>
      </fill>
    </dxf>
    <dxf>
      <font>
        <color theme="0" tint="-0.499984740745262"/>
      </font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</dxfs>
  <tableStyles count="1" defaultTableStyle="TableStyleMedium2" defaultPivotStyle="PivotStyleLight16">
    <tableStyle name="TableStyleLight4 2" pivot="0" count="9" xr9:uid="{9063016D-9678-4818-9A9C-0C22961256F6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secondRowStripe" dxfId="72"/>
      <tableStyleElement type="firstColumnStripe" dxfId="71"/>
      <tableStyleElement type="secondColumnStripe" dxfId="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19051</xdr:colOff>
      <xdr:row>0</xdr:row>
      <xdr:rowOff>0</xdr:rowOff>
    </xdr:from>
    <xdr:to>
      <xdr:col>8</xdr:col>
      <xdr:colOff>590551</xdr:colOff>
      <xdr:row>3</xdr:row>
      <xdr:rowOff>88214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784926-50FB-414B-B850-433C74C0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6" y="0"/>
          <a:ext cx="2857500" cy="754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161925</xdr:rowOff>
    </xdr:from>
    <xdr:to>
      <xdr:col>9</xdr:col>
      <xdr:colOff>944880</xdr:colOff>
      <xdr:row>4</xdr:row>
      <xdr:rowOff>69164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303FFD3-3C55-41E6-A20D-DAAF15FD4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61925"/>
          <a:ext cx="2857500" cy="754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0</xdr:row>
      <xdr:rowOff>0</xdr:rowOff>
    </xdr:from>
    <xdr:to>
      <xdr:col>8</xdr:col>
      <xdr:colOff>600075</xdr:colOff>
      <xdr:row>3</xdr:row>
      <xdr:rowOff>88214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D0A088-C66A-4026-81D1-D4DB5166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0"/>
          <a:ext cx="2857500" cy="7549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2657475</xdr:colOff>
      <xdr:row>0</xdr:row>
      <xdr:rowOff>0</xdr:rowOff>
    </xdr:from>
    <xdr:to>
      <xdr:col>3</xdr:col>
      <xdr:colOff>9525</xdr:colOff>
      <xdr:row>3</xdr:row>
      <xdr:rowOff>88214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32E1F38-16BE-430A-88E3-4B9A9CFB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0"/>
          <a:ext cx="2857500" cy="7549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C691D6-C9F9-48FE-983D-8777BBACEA72}" name="tbl_immo" displayName="tbl_immo" ref="A11:Q13" totalsRowShown="0" headerRowDxfId="69">
  <autoFilter ref="A11:Q13" xr:uid="{53C691D6-C9F9-48FE-983D-8777BBACEA72}"/>
  <tableColumns count="17">
    <tableColumn id="1" xr3:uid="{F3BE0A3C-E714-4636-B7BE-84E69E804964}" name="Anlagegut" dataDxfId="68"/>
    <tableColumn id="11" xr3:uid="{F104A6C1-89EA-4034-827E-200FF6605FA9}" name="Investitionsart" dataDxfId="67"/>
    <tableColumn id="2" xr3:uid="{59608D9E-4ECE-4CD9-9D0B-CFDE0F3DCB0C}" name="Jahr" dataDxfId="66"/>
    <tableColumn id="3" xr3:uid="{700635D2-5714-44E6-BB3F-D0092DDB8EE9}" name="Anschaffungswert" dataDxfId="65" dataCellStyle="Währung"/>
    <tableColumn id="12" xr3:uid="{0524C3EA-844D-4B23-8FE7-807E72B5A1E5}" name="Basiszins" dataDxfId="64" dataCellStyle="Prozent">
      <calculatedColumnFormula>_xlfn.IFNA(VLOOKUP(DATE(tbl_immo[[#This Row],[Jahr]],1,1),tbl_basiszins[],2,FALSE),0)</calculatedColumnFormula>
    </tableColumn>
    <tableColumn id="6" xr3:uid="{D563F896-8254-4B0D-8056-C1D3ABEE6536}" name="Nutzungsdauer" dataDxfId="63" dataCellStyle="Währung"/>
    <tableColumn id="16" xr3:uid="{C5B128D9-494A-4832-923B-6AC67C98F954}" name="Grundstückswert" dataDxfId="62" dataCellStyle="Währung"/>
    <tableColumn id="15" xr3:uid="{935F5876-B788-49A8-A41A-B526B5A764F1}" name="Jahresmiete" dataDxfId="61" dataCellStyle="Währung"/>
    <tableColumn id="9" xr3:uid="{802C7B9B-2062-4251-B9CD-3EB4127ECAA1}" name="Fremdkapital-anteil" dataDxfId="60" dataCellStyle="Prozent">
      <calculatedColumnFormula>80%</calculatedColumnFormula>
    </tableColumn>
    <tableColumn id="10" xr3:uid="{3D372FD7-DD2E-488B-9DB2-91EBA55899CC}" name="Fremdkapital-zinssatz" dataDxfId="59" dataCellStyle="Prozent">
      <calculatedColumnFormula>MIN((tbl_immo[[#This Row],[Basiszins]]+'Z - Settings'!$B$1),'Z - Settings'!$B$7)</calculatedColumnFormula>
    </tableColumn>
    <tableColumn id="4" xr3:uid="{8E3147A4-C6D0-422A-8FE4-671233C90237}" name="Kürzung wg. Höchstbetrag" dataDxfId="58">
      <calculatedColumnFormula>tbl_immo[[#This Row],[Anschaffungswert]]*$G$6</calculatedColumnFormula>
    </tableColumn>
    <tableColumn id="5" xr3:uid="{9FF68D92-0197-4F8F-99A7-E3E227C9D9E1}" name="förderfähig" dataDxfId="57">
      <calculatedColumnFormula>tbl_immo[[#This Row],[Anschaffungswert]]+tbl_immo[[#This Row],[Kürzung wg. Höchstbetrag]]</calculatedColumnFormula>
    </tableColumn>
    <tableColumn id="7" xr3:uid="{94E9D55E-DFB1-4DD0-9E46-9413FB9645E4}" name="förderfähige Abschreibungen" dataDxfId="56" dataCellStyle="Währung">
      <calculatedColumnFormula>IF($D$1-tbl_immo[[#This Row],[Jahr]]&lt;=tbl_immo[[#This Row],[Nutzungsdauer]],tbl_immo[[#This Row],[förderfähig]]/tbl_immo[[#This Row],[Nutzungsdauer]],0)</calculatedColumnFormula>
    </tableColumn>
    <tableColumn id="17" xr3:uid="{939CB078-8523-4EDC-A1BB-ABB4F42B0AE2}" name="förderfähige Zinsen FK" dataDxfId="55" dataCellStyle="Währung">
      <calculatedColumnFormula>IF(tbl_immo[[#This Row],[förderfähige Abschreibungen]]=0,0,(tbl_immo[[#This Row],[förderfähig]]-(($D$1-tbl_immo[[#This Row],[Jahr]])*tbl_immo[[#This Row],[förderfähige Abschreibungen]]))*tbl_immo[[#This Row],[Fremdkapital-anteil]]*tbl_immo[[#This Row],[Fremdkapital-zinssatz]])</calculatedColumnFormula>
    </tableColumn>
    <tableColumn id="18" xr3:uid="{4761A463-0D04-4822-83A9-39631B9C3A38}" name="förderfähige Zinsen EK" dataDxfId="54" dataCellStyle="Währung">
      <calculatedColumnFormula>IF(tbl_immo[[#This Row],[förderfähige Abschreibungen]]=0,0,(tbl_immo[[#This Row],[förderfähig]]-(($D$1-tbl_immo[[#This Row],[Jahr]])*tbl_immo[[#This Row],[förderfähige Abschreibungen]]))*(1-tbl_immo[[#This Row],[Fremdkapital-anteil]])*(MIN(tbl_immo[[#This Row],[Basiszins]]+'Z - Settings'!$B$2,'Z - Settings'!$B$8)))</calculatedColumnFormula>
    </tableColumn>
    <tableColumn id="14" xr3:uid="{F6C38509-63FD-4B0A-A8DA-2536601E7AB6}" name="JVW/10" dataDxfId="53" dataCellStyle="Währung">
      <calculatedColumnFormula>((10*(tbl_immo[[#This Row],[förderfähig]]/tbl_immo[[#This Row],[Nutzungsdauer]]))+((10*tbl_immo[[#This Row],[förderfähig]]-45*(tbl_immo[[#This Row],[förderfähig]]/tbl_immo[[#This Row],[Nutzungsdauer]]))*((tbl_immo[[#This Row],[Fremdkapital-anteil]]*tbl_immo[[#This Row],[Fremdkapital-zinssatz]])+((1-tbl_immo[[#This Row],[Fremdkapital-anteil]])*(MIN(tbl_immo[[#This Row],[Basiszins]]+'Z - Settings'!$B$2,'Z - Settings'!$B$8)))))+(tbl_immo[[#This Row],[Grundstückswert]]*0.05))/10</calculatedColumnFormula>
    </tableColumn>
    <tableColumn id="8" xr3:uid="{F6650955-9BC5-465C-8485-18864AA2B784}" name="förderfähige Miete" dataDxfId="52" dataCellStyle="Währung">
      <calculatedColumnFormula>MIN(tbl_immo[[#This Row],[JVW/10]],tbl_immo[[#This Row],[Jahresmiete]])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26718F-8747-4CB7-B68E-68996902624D}" name="tbl_anlage" displayName="tbl_anlage" ref="A17:P27" totalsRowShown="0" headerRowDxfId="51" headerRowBorderDxfId="50" tableBorderDxfId="49">
  <autoFilter ref="A17:P27" xr:uid="{2E26718F-8747-4CB7-B68E-68996902624D}"/>
  <tableColumns count="16">
    <tableColumn id="1" xr3:uid="{08D8364D-0E0F-436A-8B36-8108A38BED99}" name="Anlagegut" dataDxfId="48"/>
    <tableColumn id="11" xr3:uid="{0FE48D9C-EA9C-449F-BCE1-59FCBF95ADC4}" name="Investitionsart" dataDxfId="47"/>
    <tableColumn id="2" xr3:uid="{9629119E-45B7-4BE5-8BB0-494090A41EAB}" name="Jahr" dataDxfId="46"/>
    <tableColumn id="3" xr3:uid="{A00238DF-51FF-445C-812F-D89667284A89}" name="Anschaffungswert" dataDxfId="45" dataCellStyle="Währung"/>
    <tableColumn id="8" xr3:uid="{65ED9D27-30E5-4137-9386-507195330295}" name="Basiszins" dataDxfId="44" dataCellStyle="Prozent">
      <calculatedColumnFormula>_xlfn.IFNA(VLOOKUP(DATE(tbl_anlage[[#This Row],[Jahr]],1,1),tbl_basiszins[],2,FALSE),0)</calculatedColumnFormula>
    </tableColumn>
    <tableColumn id="6" xr3:uid="{C6079898-A2B7-4BEF-BC2F-4E0FFFCE7BBB}" name="Nutzungsdauer" dataDxfId="43" dataCellStyle="Währung"/>
    <tableColumn id="12" xr3:uid="{5EC6C0DB-3427-4E49-989A-29E74187C33A}" name="Jahresleasingkosten" dataDxfId="42" dataCellStyle="Währung"/>
    <tableColumn id="9" xr3:uid="{5B2F3FA4-8EEA-4FCF-9B24-457E92AC8516}" name="Fremdkapitalanteil" dataDxfId="41" dataCellStyle="Prozent">
      <calculatedColumnFormula>80%</calculatedColumnFormula>
    </tableColumn>
    <tableColumn id="10" xr3:uid="{E3FB680E-AD01-4D7C-8D0D-34A4EA048C3C}" name="Fremdkapital-zinssatz" dataDxfId="40" dataCellStyle="Prozent">
      <calculatedColumnFormula>MIN((tbl_anlage[[#This Row],[Basiszins]]+'Z - Settings'!$B$1),'Z - Settings'!$B$7)</calculatedColumnFormula>
    </tableColumn>
    <tableColumn id="4" xr3:uid="{B8040088-307E-43E2-8146-869150AFDE8C}" name="Kürzung wg. Höchstbetrag" dataDxfId="39">
      <calculatedColumnFormula>tbl_anlage[[#This Row],[Anschaffungswert]]*$G$6</calculatedColumnFormula>
    </tableColumn>
    <tableColumn id="5" xr3:uid="{D537C26F-5EE3-49B9-A1E2-F5C7C2BB9F06}" name="förderfähig" dataDxfId="38">
      <calculatedColumnFormula>tbl_anlage[[#This Row],[Anschaffungswert]]+tbl_anlage[[#This Row],[Kürzung wg. Höchstbetrag]]</calculatedColumnFormula>
    </tableColumn>
    <tableColumn id="7" xr3:uid="{582BEF48-64E4-475B-894A-2124BD504ACE}" name="förderfähige Abschreibungen" dataDxfId="37" dataCellStyle="Währung">
      <calculatedColumnFormula>IF($D$1-tbl_anlage[[#This Row],[Jahr]]&lt;=tbl_anlage[[#This Row],[Nutzungsdauer]],tbl_anlage[[#This Row],[förderfähig]]/tbl_anlage[[#This Row],[Nutzungsdauer]],0)</calculatedColumnFormula>
    </tableColumn>
    <tableColumn id="14" xr3:uid="{D8857654-BAFC-4509-8C2D-97603FF80E50}" name="förderfähige Zinsen FK" dataDxfId="36">
      <calculatedColumnFormula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calculatedColumnFormula>
    </tableColumn>
    <tableColumn id="15" xr3:uid="{EC3E04E2-D48F-49A4-AD38-7AFD14E5E891}" name="förderfähige Zinsen EK" dataDxfId="35">
      <calculatedColumnFormula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calculatedColumnFormula>
    </tableColumn>
    <tableColumn id="13" xr3:uid="{8C7D37DA-4425-46E5-9D5B-1AAE293F4C64}" name="JVW/10" dataDxfId="34" dataCellStyle="Währung">
      <calculatedColumnFormula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calculatedColumnFormula>
    </tableColumn>
    <tableColumn id="16" xr3:uid="{93E9D7F7-68F5-4707-A634-D0C496DC11FD}" name="förderfähiges Leasing" dataDxfId="33" dataCellStyle="Währung">
      <calculatedColumnFormula>MIN(tbl_anlage[[#This Row],[JVW/10]],tbl_anlage[[#This Row],[Jahresleasingkosten]])</calculatedColumnFormula>
    </tableColumn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75B4FD-EFBE-4CA8-B87A-82D700E4424A}" name="tbl_gutachten" displayName="tbl_gutachten" ref="A31:D33" totalsRowShown="0" headerRowDxfId="32" headerRowBorderDxfId="31" tableBorderDxfId="30">
  <autoFilter ref="A31:D33" xr:uid="{B375B4FD-EFBE-4CA8-B87A-82D700E4424A}"/>
  <tableColumns count="4">
    <tableColumn id="1" xr3:uid="{5A347E54-FAA5-452B-B940-BF8BA7DA5337}" name="Anlagegut" dataDxfId="29"/>
    <tableColumn id="2" xr3:uid="{0B1BF6D7-D187-40E5-9A78-5F24954CCB29}" name="Jahr Gutachten" dataDxfId="28"/>
    <tableColumn id="3" xr3:uid="{6245DF42-62CC-4511-9860-C1A456B46038}" name="Anschaffungswert" dataDxfId="27" dataCellStyle="Währung"/>
    <tableColumn id="4" xr3:uid="{566CC4F4-67B0-4AA0-B8E3-6EA24C4B0B83}" name="Anzurechnen" dataDxfId="26" dataCellStyle="Währung">
      <calculatedColumnFormula>IF(D1-tbl_gutachten[[#This Row],[Jahr Gutachten]]&lt;10,tbl_gutachten[[#This Row],[Anschaffungswert]]/10,0)</calculatedColumnFormula>
    </tableColumn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190A60-7E38-48C5-A8C1-597D04288D44}" name="Tabelle5" displayName="Tabelle5" ref="A7:C11" totalsRowShown="0" dataDxfId="24" headerRowBorderDxfId="25" tableBorderDxfId="23" totalsRowBorderDxfId="22">
  <autoFilter ref="A7:C11" xr:uid="{28190A60-7E38-48C5-A8C1-597D04288D44}"/>
  <tableColumns count="3">
    <tableColumn id="1" xr3:uid="{3E41FE36-CC09-4724-8958-D61C8D0ADA69}" name="Version" dataDxfId="21"/>
    <tableColumn id="2" xr3:uid="{8A7CB20B-FD59-4369-B524-3B507E157991}" name="Datum" dataDxfId="20"/>
    <tableColumn id="3" xr3:uid="{C0837BCD-FE22-4523-AD27-56964D74504D}" name="Änderungen" dataDxfId="19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1AF206-7EE2-41E7-917F-26C6675EFE8E}" name="tbl_basiszins" displayName="tbl_basiszins" ref="I3:J26" totalsRowShown="0" headerRowDxfId="18" dataDxfId="17">
  <autoFilter ref="I3:J26" xr:uid="{901AF206-7EE2-41E7-917F-26C6675EFE8E}"/>
  <tableColumns count="2">
    <tableColumn id="2" xr3:uid="{143261A1-B754-493A-82E1-5DBA753636A1}" name="Datum" dataDxfId="16"/>
    <tableColumn id="1" xr3:uid="{20F7FA6B-36EE-4484-A8F8-CF535905E876}" name="Höhe" dataDxfId="1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Nds.">
      <a:dk1>
        <a:sysClr val="windowText" lastClr="000000"/>
      </a:dk1>
      <a:lt1>
        <a:srgbClr val="D8D8D8"/>
      </a:lt1>
      <a:dk2>
        <a:srgbClr val="000000"/>
      </a:dk2>
      <a:lt2>
        <a:srgbClr val="F2F2F2"/>
      </a:lt2>
      <a:accent1>
        <a:srgbClr val="E0003C"/>
      </a:accent1>
      <a:accent2>
        <a:srgbClr val="FFFFFF"/>
      </a:accent2>
      <a:accent3>
        <a:srgbClr val="000000"/>
      </a:accent3>
      <a:accent4>
        <a:srgbClr val="70AD47"/>
      </a:accent4>
      <a:accent5>
        <a:srgbClr val="4472C4"/>
      </a:accent5>
      <a:accent6>
        <a:srgbClr val="ED7D31"/>
      </a:accent6>
      <a:hlink>
        <a:srgbClr val="E0003C"/>
      </a:hlink>
      <a:folHlink>
        <a:srgbClr val="70001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32FF-2472-4315-9CA2-0CBF2BA5A96B}">
  <dimension ref="A1:K23"/>
  <sheetViews>
    <sheetView zoomScaleNormal="100" workbookViewId="0">
      <selection activeCell="D24" sqref="D24"/>
    </sheetView>
  </sheetViews>
  <sheetFormatPr baseColWidth="10" defaultRowHeight="15" x14ac:dyDescent="0.25"/>
  <cols>
    <col min="1" max="1" width="29.5703125" customWidth="1"/>
    <col min="2" max="2" width="22.140625" customWidth="1"/>
    <col min="3" max="3" width="3.5703125" customWidth="1"/>
    <col min="4" max="4" width="16.42578125" customWidth="1"/>
  </cols>
  <sheetData>
    <row r="1" spans="1:11" s="5" customFormat="1" ht="18.75" x14ac:dyDescent="0.3">
      <c r="A1" s="105" t="str">
        <f>'A - Stammdaten'!B7</f>
        <v>Haus zur Sonne</v>
      </c>
      <c r="B1" s="105"/>
      <c r="C1" s="105"/>
      <c r="D1" s="16">
        <f>'A - Stammdaten'!B15</f>
        <v>2024</v>
      </c>
      <c r="E1" s="17"/>
      <c r="F1" s="57"/>
      <c r="G1" s="57"/>
      <c r="H1" s="57"/>
      <c r="I1" s="57"/>
      <c r="J1" s="57"/>
      <c r="K1" s="57"/>
    </row>
    <row r="2" spans="1:11" s="5" customFormat="1" ht="18.75" x14ac:dyDescent="0.3">
      <c r="A2" s="106" t="s">
        <v>20</v>
      </c>
      <c r="B2" s="106"/>
      <c r="C2" s="106"/>
      <c r="D2" s="106"/>
      <c r="E2" s="106"/>
      <c r="F2" s="57"/>
      <c r="G2" s="57"/>
      <c r="H2" s="58"/>
      <c r="I2" s="58"/>
      <c r="J2" s="58"/>
      <c r="K2" s="58"/>
    </row>
    <row r="4" spans="1:11" x14ac:dyDescent="0.25">
      <c r="A4" s="5" t="s">
        <v>90</v>
      </c>
    </row>
    <row r="6" spans="1:11" ht="15.75" thickBot="1" x14ac:dyDescent="0.3">
      <c r="A6" s="36" t="s">
        <v>28</v>
      </c>
      <c r="B6" s="37"/>
      <c r="C6" s="37"/>
      <c r="D6" s="37"/>
    </row>
    <row r="7" spans="1:11" x14ac:dyDescent="0.25">
      <c r="A7" s="2" t="s">
        <v>0</v>
      </c>
      <c r="B7" s="83" t="s">
        <v>61</v>
      </c>
      <c r="C7" s="2"/>
      <c r="D7" s="2"/>
    </row>
    <row r="8" spans="1:11" x14ac:dyDescent="0.25">
      <c r="A8" s="1" t="s">
        <v>1</v>
      </c>
      <c r="B8" s="84" t="s">
        <v>62</v>
      </c>
      <c r="C8" s="1"/>
      <c r="D8" s="1"/>
    </row>
    <row r="9" spans="1:11" x14ac:dyDescent="0.25">
      <c r="A9" s="1" t="s">
        <v>2</v>
      </c>
      <c r="B9" s="84" t="s">
        <v>63</v>
      </c>
      <c r="C9" s="1"/>
      <c r="D9" s="1"/>
    </row>
    <row r="10" spans="1:11" x14ac:dyDescent="0.25">
      <c r="A10" s="1" t="s">
        <v>46</v>
      </c>
      <c r="B10" s="84" t="s">
        <v>47</v>
      </c>
      <c r="C10" s="1"/>
      <c r="D10" s="1"/>
    </row>
    <row r="11" spans="1:11" x14ac:dyDescent="0.25">
      <c r="A11" s="1" t="s">
        <v>3</v>
      </c>
      <c r="B11" s="84">
        <v>30</v>
      </c>
      <c r="C11" s="1"/>
      <c r="D11" s="1"/>
    </row>
    <row r="12" spans="1:11" x14ac:dyDescent="0.25">
      <c r="A12" s="34" t="s">
        <v>110</v>
      </c>
      <c r="B12" s="84">
        <v>257</v>
      </c>
      <c r="C12" s="1"/>
      <c r="D12" s="1"/>
    </row>
    <row r="13" spans="1:11" x14ac:dyDescent="0.25">
      <c r="A13" s="34" t="s">
        <v>84</v>
      </c>
      <c r="B13" s="85">
        <v>0.9</v>
      </c>
      <c r="C13" s="1"/>
      <c r="D13" s="1"/>
    </row>
    <row r="14" spans="1:11" x14ac:dyDescent="0.25">
      <c r="A14" s="1"/>
      <c r="B14" s="1"/>
      <c r="C14" s="1"/>
      <c r="D14" s="1"/>
    </row>
    <row r="15" spans="1:11" x14ac:dyDescent="0.25">
      <c r="A15" s="1" t="s">
        <v>58</v>
      </c>
      <c r="B15" s="84">
        <v>2024</v>
      </c>
      <c r="C15" s="1"/>
      <c r="D15" s="1"/>
    </row>
    <row r="16" spans="1:11" x14ac:dyDescent="0.25">
      <c r="A16" s="1" t="s">
        <v>59</v>
      </c>
      <c r="B16" s="86">
        <v>45352</v>
      </c>
      <c r="C16" s="3" t="s">
        <v>4</v>
      </c>
      <c r="D16" s="86"/>
    </row>
    <row r="17" spans="1:4" ht="15.75" thickBot="1" x14ac:dyDescent="0.3">
      <c r="A17" s="59"/>
      <c r="B17" s="60"/>
      <c r="C17" s="59"/>
      <c r="D17" s="59"/>
    </row>
    <row r="20" spans="1:4" x14ac:dyDescent="0.25">
      <c r="A20" s="87" t="s">
        <v>94</v>
      </c>
      <c r="B20" s="88"/>
    </row>
    <row r="21" spans="1:4" x14ac:dyDescent="0.25">
      <c r="A21" s="88" t="s">
        <v>95</v>
      </c>
      <c r="B21" s="89">
        <f>'X - Changelog'!C3</f>
        <v>45541</v>
      </c>
    </row>
    <row r="22" spans="1:4" s="87" customFormat="1" x14ac:dyDescent="0.25">
      <c r="A22" s="87" t="s">
        <v>106</v>
      </c>
      <c r="B22" s="98" t="str">
        <f>'X - Changelog'!B3</f>
        <v>1.2</v>
      </c>
    </row>
    <row r="23" spans="1:4" x14ac:dyDescent="0.25">
      <c r="A23" s="87" t="s">
        <v>107</v>
      </c>
    </row>
  </sheetData>
  <mergeCells count="2">
    <mergeCell ref="A1:C1"/>
    <mergeCell ref="A2:E2"/>
  </mergeCells>
  <dataValidations count="1">
    <dataValidation type="list" allowBlank="1" showInputMessage="1" showErrorMessage="1" sqref="B10" xr:uid="{EBB63C66-B1AE-41A7-84EE-71FF2BB24D7D}">
      <formula1>einr_art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39A7-6AEC-4B58-B68A-30F43D67B81E}">
  <sheetPr>
    <pageSetUpPr fitToPage="1"/>
  </sheetPr>
  <dimension ref="A1:Q33"/>
  <sheetViews>
    <sheetView tabSelected="1" topLeftCell="A7" zoomScaleNormal="100" workbookViewId="0">
      <selection activeCell="F20" sqref="F20"/>
    </sheetView>
  </sheetViews>
  <sheetFormatPr baseColWidth="10" defaultRowHeight="15" outlineLevelCol="1" x14ac:dyDescent="0.25"/>
  <cols>
    <col min="1" max="1" width="25.140625" customWidth="1"/>
    <col min="2" max="2" width="16.42578125" customWidth="1"/>
    <col min="3" max="3" width="20.140625" customWidth="1"/>
    <col min="4" max="4" width="19.85546875" customWidth="1"/>
    <col min="5" max="5" width="16.5703125" customWidth="1"/>
    <col min="6" max="6" width="18.85546875" customWidth="1"/>
    <col min="7" max="7" width="19.28515625" customWidth="1"/>
    <col min="8" max="8" width="17" customWidth="1"/>
    <col min="9" max="9" width="14.42578125" customWidth="1"/>
    <col min="10" max="10" width="15.7109375" customWidth="1"/>
    <col min="11" max="11" width="14.85546875" customWidth="1" outlineLevel="1"/>
    <col min="12" max="12" width="16.42578125" customWidth="1" outlineLevel="1"/>
    <col min="13" max="13" width="14" customWidth="1" outlineLevel="1"/>
    <col min="14" max="14" width="14.5703125" customWidth="1" outlineLevel="1"/>
    <col min="15" max="15" width="12" customWidth="1" outlineLevel="1"/>
    <col min="16" max="16" width="16.7109375" bestFit="1" customWidth="1" outlineLevel="1"/>
    <col min="17" max="17" width="13.28515625" customWidth="1" outlineLevel="1"/>
  </cols>
  <sheetData>
    <row r="1" spans="1:17" s="5" customFormat="1" ht="18.75" x14ac:dyDescent="0.3">
      <c r="A1" s="105" t="str">
        <f>'A - Stammdaten'!B7</f>
        <v>Haus zur Sonne</v>
      </c>
      <c r="B1" s="105"/>
      <c r="C1" s="105"/>
      <c r="D1" s="16">
        <f>'A - Stammdaten'!B15</f>
        <v>2024</v>
      </c>
      <c r="E1" s="57"/>
      <c r="F1" s="57"/>
      <c r="G1" s="57"/>
      <c r="H1" s="57"/>
      <c r="I1" s="57"/>
    </row>
    <row r="2" spans="1:17" s="5" customFormat="1" ht="18.75" x14ac:dyDescent="0.3">
      <c r="A2" s="17" t="s">
        <v>21</v>
      </c>
      <c r="B2" s="56"/>
      <c r="C2" s="56"/>
      <c r="D2" s="16"/>
      <c r="E2" s="57"/>
      <c r="F2" s="57"/>
      <c r="G2" s="57"/>
      <c r="H2" s="57"/>
      <c r="I2" s="57"/>
    </row>
    <row r="4" spans="1:17" s="5" customFormat="1" x14ac:dyDescent="0.25">
      <c r="B4" s="12"/>
      <c r="C4" s="9" t="s">
        <v>17</v>
      </c>
      <c r="D4" s="19">
        <f>SUM(tbl_immo[Anschaffungswert])+ SUM(tbl_anlage[Anschaffungswert])+SUMIF(tbl_immo[Investitionsart],"Miete/Leasing",tbl_immo[Grundstückswert])*0.05</f>
        <v>1546270</v>
      </c>
      <c r="F4" s="10" t="s">
        <v>81</v>
      </c>
      <c r="G4" s="68">
        <f>'A - Stammdaten'!B11</f>
        <v>30</v>
      </c>
    </row>
    <row r="5" spans="1:17" s="5" customFormat="1" x14ac:dyDescent="0.25">
      <c r="B5" s="12"/>
      <c r="C5" s="11"/>
      <c r="D5" s="20"/>
      <c r="F5" s="10"/>
    </row>
    <row r="6" spans="1:17" s="5" customFormat="1" x14ac:dyDescent="0.25">
      <c r="A6" s="107" t="s">
        <v>15</v>
      </c>
      <c r="B6" s="107"/>
      <c r="C6" s="82" t="s">
        <v>14</v>
      </c>
      <c r="D6" s="21">
        <f>IF('A - Stammdaten'!$B$10="Tagespflege",IF($C$6="Investitionen",'A - Stammdaten'!$B$11*'Z - Settings'!$B$3,'Z - Settings'!$B$5*'A - Stammdaten'!$B$11),IF($C$6="Investitionen",'A - Stammdaten'!$B$11*'Z - Settings'!$B$4,'Z - Settings'!$B$6*'A - Stammdaten'!$B$11))</f>
        <v>1419000</v>
      </c>
      <c r="F6" s="10" t="s">
        <v>16</v>
      </c>
      <c r="G6" s="22">
        <f>IF('C - Berechnung Tagessatz'!$B$4="gesonderte Berechnung",0,IF(D4&gt;D6,-(1-(D6/D4)),0))</f>
        <v>-8.2307747029949474E-2</v>
      </c>
    </row>
    <row r="7" spans="1:17" s="5" customFormat="1" x14ac:dyDescent="0.25">
      <c r="C7" s="9"/>
      <c r="D7" s="6"/>
      <c r="F7" s="10"/>
    </row>
    <row r="8" spans="1:17" s="5" customFormat="1" ht="30.75" customHeight="1" x14ac:dyDescent="0.25">
      <c r="A8" s="108" t="s">
        <v>91</v>
      </c>
      <c r="B8" s="108"/>
      <c r="C8" s="108"/>
      <c r="D8" s="108"/>
      <c r="E8" s="108"/>
      <c r="F8" s="108"/>
      <c r="G8" s="108"/>
    </row>
    <row r="10" spans="1:17" x14ac:dyDescent="0.25">
      <c r="A10" s="14" t="s">
        <v>29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55"/>
      <c r="Q10" s="15"/>
    </row>
    <row r="11" spans="1:17" ht="45" x14ac:dyDescent="0.25">
      <c r="A11" s="7" t="s">
        <v>5</v>
      </c>
      <c r="B11" s="7" t="s">
        <v>26</v>
      </c>
      <c r="C11" s="7" t="s">
        <v>27</v>
      </c>
      <c r="D11" s="7" t="s">
        <v>6</v>
      </c>
      <c r="E11" s="7" t="s">
        <v>76</v>
      </c>
      <c r="F11" s="7" t="s">
        <v>55</v>
      </c>
      <c r="G11" s="7" t="s">
        <v>36</v>
      </c>
      <c r="H11" s="7" t="s">
        <v>35</v>
      </c>
      <c r="I11" s="8" t="s">
        <v>33</v>
      </c>
      <c r="J11" s="8" t="s">
        <v>34</v>
      </c>
      <c r="K11" s="7" t="s">
        <v>13</v>
      </c>
      <c r="L11" s="7" t="s">
        <v>18</v>
      </c>
      <c r="M11" s="7" t="s">
        <v>19</v>
      </c>
      <c r="N11" s="7" t="s">
        <v>40</v>
      </c>
      <c r="O11" s="7" t="s">
        <v>39</v>
      </c>
      <c r="P11" s="7" t="s">
        <v>37</v>
      </c>
      <c r="Q11" s="7" t="s">
        <v>60</v>
      </c>
    </row>
    <row r="12" spans="1:17" x14ac:dyDescent="0.25">
      <c r="A12" s="70" t="s">
        <v>64</v>
      </c>
      <c r="B12" s="70" t="s">
        <v>25</v>
      </c>
      <c r="C12" s="70">
        <v>2023</v>
      </c>
      <c r="D12" s="71">
        <v>1250000</v>
      </c>
      <c r="E12" s="72">
        <f>_xlfn.IFNA(VLOOKUP(DATE(tbl_immo[[#This Row],[Jahr]],1,1),tbl_basiszins[],2,FALSE),0)</f>
        <v>1.6199999999999999E-2</v>
      </c>
      <c r="F12" s="73">
        <v>50</v>
      </c>
      <c r="G12" s="24"/>
      <c r="H12" s="24"/>
      <c r="I12" s="75">
        <f>80%</f>
        <v>0.8</v>
      </c>
      <c r="J12" s="72">
        <f>MIN((tbl_immo[[#This Row],[Basiszins]]+'Z - Settings'!$B$1),'Z - Settings'!$B$7)</f>
        <v>0.04</v>
      </c>
      <c r="K12" s="28">
        <f>tbl_immo[[#This Row],[Anschaffungswert]]*$G$6</f>
        <v>-102884.68378743684</v>
      </c>
      <c r="L12" s="28">
        <f>tbl_immo[[#This Row],[Anschaffungswert]]+tbl_immo[[#This Row],[Kürzung wg. Höchstbetrag]]</f>
        <v>1147115.3162125631</v>
      </c>
      <c r="M12" s="24">
        <f>IF($D$1-tbl_immo[[#This Row],[Jahr]]&lt;=tbl_immo[[#This Row],[Nutzungsdauer]],tbl_immo[[#This Row],[förderfähig]]/tbl_immo[[#This Row],[Nutzungsdauer]],0)</f>
        <v>22942.306324251262</v>
      </c>
      <c r="N12" s="24">
        <f>IF(tbl_immo[[#This Row],[förderfähige Abschreibungen]]=0,0,(tbl_immo[[#This Row],[förderfähig]]-(($D$1-tbl_immo[[#This Row],[Jahr]])*tbl_immo[[#This Row],[förderfähige Abschreibungen]]))*tbl_immo[[#This Row],[Fremdkapital-anteil]]*tbl_immo[[#This Row],[Fremdkapital-zinssatz]])</f>
        <v>35973.536316425983</v>
      </c>
      <c r="O12" s="24">
        <f>IF(tbl_immo[[#This Row],[förderfähige Abschreibungen]]=0,0,(tbl_immo[[#This Row],[förderfähig]]-(($D$1-tbl_immo[[#This Row],[Jahr]])*tbl_immo[[#This Row],[förderfähige Abschreibungen]]))*(1-tbl_immo[[#This Row],[Fremdkapital-anteil]])*(MIN(tbl_immo[[#This Row],[Basiszins]]+'Z - Settings'!$B$2,'Z - Settings'!$B$8)))</f>
        <v>6745.0380593298696</v>
      </c>
      <c r="P12" s="24">
        <f>((10*(tbl_immo[[#This Row],[förderfähig]]/tbl_immo[[#This Row],[Nutzungsdauer]]))+((10*tbl_immo[[#This Row],[förderfähig]]-45*(tbl_immo[[#This Row],[förderfähig]]/tbl_immo[[#This Row],[Nutzungsdauer]]))*((tbl_immo[[#This Row],[Fremdkapital-anteil]]*tbl_immo[[#This Row],[Fremdkapital-zinssatz]])+((1-tbl_immo[[#This Row],[Fremdkapital-anteil]])*(MIN(tbl_immo[[#This Row],[Basiszins]]+'Z - Settings'!$B$2,'Z - Settings'!$B$8)))))+(tbl_immo[[#This Row],[Grundstückswert]]*0.05))/10</f>
        <v>62609.55395888169</v>
      </c>
      <c r="Q12" s="24">
        <f>MIN(tbl_immo[[#This Row],[JVW/10]],tbl_immo[[#This Row],[Jahresmiete]])</f>
        <v>62609.55395888169</v>
      </c>
    </row>
    <row r="13" spans="1:17" x14ac:dyDescent="0.25">
      <c r="A13" s="70" t="s">
        <v>65</v>
      </c>
      <c r="B13" s="70" t="s">
        <v>82</v>
      </c>
      <c r="C13" s="70">
        <v>2020</v>
      </c>
      <c r="D13" s="71">
        <v>60000</v>
      </c>
      <c r="E13" s="72">
        <f>_xlfn.IFNA(VLOOKUP(DATE(tbl_immo[[#This Row],[Jahr]],1,1),tbl_basiszins[],2,FALSE),0)</f>
        <v>-8.8000000000000005E-3</v>
      </c>
      <c r="F13" s="74">
        <v>50</v>
      </c>
      <c r="G13" s="24">
        <v>15000</v>
      </c>
      <c r="H13" s="24">
        <v>2000</v>
      </c>
      <c r="I13" s="76">
        <f>80%</f>
        <v>0.8</v>
      </c>
      <c r="J13" s="77">
        <f>MIN((tbl_immo[[#This Row],[Basiszins]]+'Z - Settings'!$B$1),'Z - Settings'!$B$7)</f>
        <v>1.6199999999999999E-2</v>
      </c>
      <c r="K13" s="28">
        <f>tbl_immo[[#This Row],[Anschaffungswert]]*$G$6</f>
        <v>-4938.4648217969689</v>
      </c>
      <c r="L13" s="28">
        <f>tbl_immo[[#This Row],[Anschaffungswert]]+tbl_immo[[#This Row],[Kürzung wg. Höchstbetrag]]</f>
        <v>55061.535178203034</v>
      </c>
      <c r="M13" s="24">
        <f>IF($D$1-tbl_immo[[#This Row],[Jahr]]&lt;=tbl_immo[[#This Row],[Nutzungsdauer]],tbl_immo[[#This Row],[förderfähig]]/tbl_immo[[#This Row],[Nutzungsdauer]],0)</f>
        <v>1101.2307035640606</v>
      </c>
      <c r="N13" s="24">
        <f>IF(tbl_immo[[#This Row],[förderfähige Abschreibungen]]=0,0,(tbl_immo[[#This Row],[förderfähig]]-(($D$1-tbl_immo[[#This Row],[Jahr]])*tbl_immo[[#This Row],[förderfähige Abschreibungen]]))*tbl_immo[[#This Row],[Fremdkapital-anteil]]*tbl_immo[[#This Row],[Fremdkapital-zinssatz]])</f>
        <v>656.50969623675041</v>
      </c>
      <c r="O13" s="24">
        <f>IF(tbl_immo[[#This Row],[förderfähige Abschreibungen]]=0,0,(tbl_immo[[#This Row],[förderfähig]]-(($D$1-tbl_immo[[#This Row],[Jahr]])*tbl_immo[[#This Row],[förderfähige Abschreibungen]]))*(1-tbl_immo[[#This Row],[Fremdkapital-anteil]])*(MIN(tbl_immo[[#This Row],[Basiszins]]+'Z - Settings'!$B$2,'Z - Settings'!$B$8)))</f>
        <v>62.814199331293992</v>
      </c>
      <c r="P13" s="24">
        <f>((10*(tbl_immo[[#This Row],[förderfähig]]/tbl_immo[[#This Row],[Nutzungsdauer]]))+((10*tbl_immo[[#This Row],[förderfähig]]-45*(tbl_immo[[#This Row],[förderfähig]]/tbl_immo[[#This Row],[Nutzungsdauer]]))*((tbl_immo[[#This Row],[Fremdkapital-anteil]]*tbl_immo[[#This Row],[Fremdkapital-zinssatz]])+((1-tbl_immo[[#This Row],[Fremdkapital-anteil]])*(MIN(tbl_immo[[#This Row],[Basiszins]]+'Z - Settings'!$B$2,'Z - Settings'!$B$8)))))+(tbl_immo[[#This Row],[Grundstückswert]]*0.05))/10</f>
        <v>1887.7358611367999</v>
      </c>
      <c r="Q13" s="24">
        <f>MIN(tbl_immo[[#This Row],[JVW/10]],tbl_immo[[#This Row],[Jahresmiete]])</f>
        <v>1887.7358611367999</v>
      </c>
    </row>
    <row r="14" spans="1:17" x14ac:dyDescent="0.25">
      <c r="A14" t="s">
        <v>24</v>
      </c>
      <c r="C14" s="4"/>
      <c r="G14" s="4"/>
    </row>
    <row r="15" spans="1:17" x14ac:dyDescent="0.25">
      <c r="A15" t="s">
        <v>24</v>
      </c>
      <c r="C15" s="4"/>
      <c r="G15" s="4"/>
    </row>
    <row r="16" spans="1:17" x14ac:dyDescent="0.25">
      <c r="A16" s="14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x14ac:dyDescent="0.25">
      <c r="A17" s="8" t="s">
        <v>5</v>
      </c>
      <c r="B17" s="8" t="s">
        <v>26</v>
      </c>
      <c r="C17" s="8" t="s">
        <v>27</v>
      </c>
      <c r="D17" s="8" t="s">
        <v>6</v>
      </c>
      <c r="E17" s="7" t="s">
        <v>76</v>
      </c>
      <c r="F17" s="8" t="s">
        <v>55</v>
      </c>
      <c r="G17" s="8" t="s">
        <v>79</v>
      </c>
      <c r="H17" s="8" t="s">
        <v>56</v>
      </c>
      <c r="I17" s="8" t="s">
        <v>34</v>
      </c>
      <c r="J17" s="8" t="s">
        <v>13</v>
      </c>
      <c r="K17" s="8" t="s">
        <v>18</v>
      </c>
      <c r="L17" s="8" t="s">
        <v>19</v>
      </c>
      <c r="M17" s="8" t="s">
        <v>40</v>
      </c>
      <c r="N17" s="8" t="s">
        <v>39</v>
      </c>
      <c r="O17" s="8" t="s">
        <v>37</v>
      </c>
      <c r="P17" s="8" t="s">
        <v>80</v>
      </c>
    </row>
    <row r="18" spans="1:16" x14ac:dyDescent="0.25">
      <c r="A18" s="70" t="s">
        <v>66</v>
      </c>
      <c r="B18" s="70" t="s">
        <v>25</v>
      </c>
      <c r="C18" s="70">
        <v>2020</v>
      </c>
      <c r="D18" s="71">
        <v>27800</v>
      </c>
      <c r="E18" s="72">
        <f>_xlfn.IFNA(VLOOKUP(DATE(tbl_anlage[[#This Row],[Jahr]],1,1),tbl_basiszins[],2,FALSE),0)</f>
        <v>-8.8000000000000005E-3</v>
      </c>
      <c r="F18" s="78">
        <v>10</v>
      </c>
      <c r="G18" s="71"/>
      <c r="H18" s="29">
        <f>80%</f>
        <v>0.8</v>
      </c>
      <c r="I18" s="62">
        <f>MIN((tbl_anlage[[#This Row],[Basiszins]]+'Z - Settings'!$B$1),'Z - Settings'!$B$7)</f>
        <v>1.6199999999999999E-2</v>
      </c>
      <c r="J18" s="28">
        <f>tbl_anlage[[#This Row],[Anschaffungswert]]*$G$6</f>
        <v>-2288.1553674325955</v>
      </c>
      <c r="K18" s="28">
        <f>tbl_anlage[[#This Row],[Anschaffungswert]]+tbl_anlage[[#This Row],[Kürzung wg. Höchstbetrag]]</f>
        <v>25511.844632567405</v>
      </c>
      <c r="L18" s="24">
        <f>IF($D$1-tbl_anlage[[#This Row],[Jahr]]&lt;=tbl_anlage[[#This Row],[Nutzungsdauer]],tbl_anlage[[#This Row],[förderfähig]]/tbl_anlage[[#This Row],[Nutzungsdauer]],0)</f>
        <v>2551.1844632567404</v>
      </c>
      <c r="M18" s="24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198.38010386284415</v>
      </c>
      <c r="N18" s="24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18.980812406630143</v>
      </c>
      <c r="O18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2750.4319698370919</v>
      </c>
      <c r="P18" s="24">
        <f>MIN(tbl_anlage[[#This Row],[JVW/10]],tbl_anlage[[#This Row],[Jahresleasingkosten]])</f>
        <v>2750.4319698370919</v>
      </c>
    </row>
    <row r="19" spans="1:16" x14ac:dyDescent="0.25">
      <c r="A19" s="70" t="s">
        <v>67</v>
      </c>
      <c r="B19" s="70" t="s">
        <v>25</v>
      </c>
      <c r="C19" s="70">
        <v>2023</v>
      </c>
      <c r="D19" s="71">
        <v>13600</v>
      </c>
      <c r="E19" s="72">
        <f>_xlfn.IFNA(VLOOKUP(DATE(tbl_anlage[[#This Row],[Jahr]],1,1),tbl_basiszins[],2,FALSE),0)</f>
        <v>1.6199999999999999E-2</v>
      </c>
      <c r="F19" s="78">
        <v>10</v>
      </c>
      <c r="G19" s="71"/>
      <c r="H19" s="29">
        <f>80%</f>
        <v>0.8</v>
      </c>
      <c r="I19" s="62">
        <f>MIN((tbl_anlage[[#This Row],[Basiszins]]+'Z - Settings'!$B$1),'Z - Settings'!$B$7)</f>
        <v>0.04</v>
      </c>
      <c r="J19" s="28">
        <f>tbl_anlage[[#This Row],[Anschaffungswert]]*$G$6</f>
        <v>-1119.3853596073129</v>
      </c>
      <c r="K19" s="28">
        <f>tbl_anlage[[#This Row],[Anschaffungswert]]+tbl_anlage[[#This Row],[Kürzung wg. Höchstbetrag]]</f>
        <v>12480.614640392687</v>
      </c>
      <c r="L19" s="24">
        <f>IF($D$1-tbl_anlage[[#This Row],[Jahr]]&lt;=tbl_anlage[[#This Row],[Nutzungsdauer]],tbl_anlage[[#This Row],[förderfähig]]/tbl_anlage[[#This Row],[Nutzungsdauer]],0)</f>
        <v>1248.0614640392687</v>
      </c>
      <c r="M19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359.44170164330944</v>
      </c>
      <c r="N19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67.395319058120492</v>
      </c>
      <c r="O19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1508.9063100234757</v>
      </c>
      <c r="P19" s="24">
        <f>MIN(tbl_anlage[[#This Row],[JVW/10]],tbl_anlage[[#This Row],[Jahresleasingkosten]])</f>
        <v>1508.9063100234757</v>
      </c>
    </row>
    <row r="20" spans="1:16" x14ac:dyDescent="0.25">
      <c r="A20" s="70" t="s">
        <v>68</v>
      </c>
      <c r="B20" s="70" t="s">
        <v>25</v>
      </c>
      <c r="C20" s="70">
        <v>2023</v>
      </c>
      <c r="D20" s="71">
        <v>4120</v>
      </c>
      <c r="E20" s="72">
        <f>_xlfn.IFNA(VLOOKUP(DATE(tbl_anlage[[#This Row],[Jahr]],1,1),tbl_basiszins[],2,FALSE),0)</f>
        <v>1.6199999999999999E-2</v>
      </c>
      <c r="F20" s="79">
        <v>6</v>
      </c>
      <c r="G20" s="71"/>
      <c r="H20" s="63">
        <f>80%</f>
        <v>0.8</v>
      </c>
      <c r="I20" s="62">
        <f>MIN((tbl_anlage[[#This Row],[Basiszins]]+'Z - Settings'!$B$1),'Z - Settings'!$B$7)</f>
        <v>0.04</v>
      </c>
      <c r="J20" s="28">
        <f>tbl_anlage[[#This Row],[Anschaffungswert]]*$G$6</f>
        <v>-339.10791776339181</v>
      </c>
      <c r="K20" s="28">
        <f>tbl_anlage[[#This Row],[Anschaffungswert]]+tbl_anlage[[#This Row],[Kürzung wg. Höchstbetrag]]</f>
        <v>3780.8920822366081</v>
      </c>
      <c r="L20" s="24">
        <f>IF($D$1-tbl_anlage[[#This Row],[Jahr]]&lt;=tbl_anlage[[#This Row],[Nutzungsdauer]],tbl_anlage[[#This Row],[förderfähig]]/tbl_anlage[[#This Row],[Nutzungsdauer]],0)</f>
        <v>630.14868037276801</v>
      </c>
      <c r="M20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100.82378885964289</v>
      </c>
      <c r="N20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18.904460411183035</v>
      </c>
      <c r="O20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666.06715515401572</v>
      </c>
      <c r="P20" s="24">
        <f>MIN(tbl_anlage[[#This Row],[JVW/10]],tbl_anlage[[#This Row],[Jahresleasingkosten]])</f>
        <v>666.06715515401572</v>
      </c>
    </row>
    <row r="21" spans="1:16" x14ac:dyDescent="0.25">
      <c r="A21" s="70" t="s">
        <v>69</v>
      </c>
      <c r="B21" s="70" t="s">
        <v>25</v>
      </c>
      <c r="C21" s="70">
        <v>2023</v>
      </c>
      <c r="D21" s="71">
        <v>42000</v>
      </c>
      <c r="E21" s="72">
        <f>_xlfn.IFNA(VLOOKUP(DATE(tbl_anlage[[#This Row],[Jahr]],1,1),tbl_basiszins[],2,FALSE),0)</f>
        <v>1.6199999999999999E-2</v>
      </c>
      <c r="F21" s="79">
        <v>6</v>
      </c>
      <c r="G21" s="71"/>
      <c r="H21" s="63">
        <f>80%</f>
        <v>0.8</v>
      </c>
      <c r="I21" s="62">
        <f>MIN((tbl_anlage[[#This Row],[Basiszins]]+'Z - Settings'!$B$1),'Z - Settings'!$B$7)</f>
        <v>0.04</v>
      </c>
      <c r="J21" s="28">
        <f>tbl_anlage[[#This Row],[Anschaffungswert]]*$G$6</f>
        <v>-3456.9253752578779</v>
      </c>
      <c r="K21" s="28">
        <f>tbl_anlage[[#This Row],[Anschaffungswert]]+tbl_anlage[[#This Row],[Kürzung wg. Höchstbetrag]]</f>
        <v>38543.074624742119</v>
      </c>
      <c r="L21" s="24">
        <f>IF($D$1-tbl_anlage[[#This Row],[Jahr]]&lt;=tbl_anlage[[#This Row],[Nutzungsdauer]],tbl_anlage[[#This Row],[förderfähig]]/tbl_anlage[[#This Row],[Nutzungsdauer]],0)</f>
        <v>6423.8457707903535</v>
      </c>
      <c r="M21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1027.8153233264566</v>
      </c>
      <c r="N21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192.71537312371055</v>
      </c>
      <c r="O21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6790.0049797254032</v>
      </c>
      <c r="P21" s="24">
        <f>MIN(tbl_anlage[[#This Row],[JVW/10]],tbl_anlage[[#This Row],[Jahresleasingkosten]])</f>
        <v>6790.0049797254032</v>
      </c>
    </row>
    <row r="22" spans="1:16" x14ac:dyDescent="0.25">
      <c r="A22" s="70" t="s">
        <v>70</v>
      </c>
      <c r="B22" s="70" t="s">
        <v>25</v>
      </c>
      <c r="C22" s="70">
        <v>2023</v>
      </c>
      <c r="D22" s="71">
        <v>42000</v>
      </c>
      <c r="E22" s="72">
        <f>_xlfn.IFNA(VLOOKUP(DATE(tbl_anlage[[#This Row],[Jahr]],1,1),tbl_basiszins[],2,FALSE),0)</f>
        <v>1.6199999999999999E-2</v>
      </c>
      <c r="F22" s="79">
        <v>6</v>
      </c>
      <c r="G22" s="71"/>
      <c r="H22" s="63">
        <f>80%</f>
        <v>0.8</v>
      </c>
      <c r="I22" s="62">
        <f>MIN((tbl_anlage[[#This Row],[Basiszins]]+'Z - Settings'!$B$1),'Z - Settings'!$B$7)</f>
        <v>0.04</v>
      </c>
      <c r="J22" s="28">
        <f>tbl_anlage[[#This Row],[Anschaffungswert]]*$G$6</f>
        <v>-3456.9253752578779</v>
      </c>
      <c r="K22" s="28">
        <f>tbl_anlage[[#This Row],[Anschaffungswert]]+tbl_anlage[[#This Row],[Kürzung wg. Höchstbetrag]]</f>
        <v>38543.074624742119</v>
      </c>
      <c r="L22" s="24">
        <f>IF($D$1-tbl_anlage[[#This Row],[Jahr]]&lt;=tbl_anlage[[#This Row],[Nutzungsdauer]],tbl_anlage[[#This Row],[förderfähig]]/tbl_anlage[[#This Row],[Nutzungsdauer]],0)</f>
        <v>6423.8457707903535</v>
      </c>
      <c r="M22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1027.8153233264566</v>
      </c>
      <c r="N22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192.71537312371055</v>
      </c>
      <c r="O22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6790.0049797254032</v>
      </c>
      <c r="P22" s="24">
        <f>MIN(tbl_anlage[[#This Row],[JVW/10]],tbl_anlage[[#This Row],[Jahresleasingkosten]])</f>
        <v>6790.0049797254032</v>
      </c>
    </row>
    <row r="23" spans="1:16" x14ac:dyDescent="0.25">
      <c r="A23" s="70" t="s">
        <v>71</v>
      </c>
      <c r="B23" s="70" t="s">
        <v>25</v>
      </c>
      <c r="C23" s="70">
        <v>2023</v>
      </c>
      <c r="D23" s="71">
        <v>42000</v>
      </c>
      <c r="E23" s="72">
        <f>_xlfn.IFNA(VLOOKUP(DATE(tbl_anlage[[#This Row],[Jahr]],1,1),tbl_basiszins[],2,FALSE),0)</f>
        <v>1.6199999999999999E-2</v>
      </c>
      <c r="F23" s="79">
        <v>6</v>
      </c>
      <c r="G23" s="71"/>
      <c r="H23" s="63">
        <f>80%</f>
        <v>0.8</v>
      </c>
      <c r="I23" s="62">
        <f>MIN((tbl_anlage[[#This Row],[Basiszins]]+'Z - Settings'!$B$1),'Z - Settings'!$B$7)</f>
        <v>0.04</v>
      </c>
      <c r="J23" s="28">
        <f>tbl_anlage[[#This Row],[Anschaffungswert]]*$G$6</f>
        <v>-3456.9253752578779</v>
      </c>
      <c r="K23" s="28">
        <f>tbl_anlage[[#This Row],[Anschaffungswert]]+tbl_anlage[[#This Row],[Kürzung wg. Höchstbetrag]]</f>
        <v>38543.074624742119</v>
      </c>
      <c r="L23" s="24">
        <f>IF($D$1-tbl_anlage[[#This Row],[Jahr]]&lt;=tbl_anlage[[#This Row],[Nutzungsdauer]],tbl_anlage[[#This Row],[förderfähig]]/tbl_anlage[[#This Row],[Nutzungsdauer]],0)</f>
        <v>6423.8457707903535</v>
      </c>
      <c r="M23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1027.8153233264566</v>
      </c>
      <c r="N23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192.71537312371055</v>
      </c>
      <c r="O23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6790.0049797254032</v>
      </c>
      <c r="P23" s="24">
        <f>MIN(tbl_anlage[[#This Row],[JVW/10]],tbl_anlage[[#This Row],[Jahresleasingkosten]])</f>
        <v>6790.0049797254032</v>
      </c>
    </row>
    <row r="24" spans="1:16" x14ac:dyDescent="0.25">
      <c r="A24" s="70" t="s">
        <v>72</v>
      </c>
      <c r="B24" s="70" t="s">
        <v>25</v>
      </c>
      <c r="C24" s="70">
        <v>2023</v>
      </c>
      <c r="D24" s="71">
        <v>25000</v>
      </c>
      <c r="E24" s="72">
        <f>_xlfn.IFNA(VLOOKUP(DATE(tbl_anlage[[#This Row],[Jahr]],1,1),tbl_basiszins[],2,FALSE),0)</f>
        <v>1.6199999999999999E-2</v>
      </c>
      <c r="F24" s="79">
        <v>6</v>
      </c>
      <c r="G24" s="71"/>
      <c r="H24" s="63">
        <f>80%</f>
        <v>0.8</v>
      </c>
      <c r="I24" s="62">
        <f>MIN((tbl_anlage[[#This Row],[Basiszins]]+'Z - Settings'!$B$1),'Z - Settings'!$B$7)</f>
        <v>0.04</v>
      </c>
      <c r="J24" s="28">
        <f>tbl_anlage[[#This Row],[Anschaffungswert]]*$G$6</f>
        <v>-2057.693675748737</v>
      </c>
      <c r="K24" s="28">
        <f>tbl_anlage[[#This Row],[Anschaffungswert]]+tbl_anlage[[#This Row],[Kürzung wg. Höchstbetrag]]</f>
        <v>22942.306324251262</v>
      </c>
      <c r="L24" s="24">
        <f>IF($D$1-tbl_anlage[[#This Row],[Jahr]]&lt;=tbl_anlage[[#This Row],[Nutzungsdauer]],tbl_anlage[[#This Row],[förderfähig]]/tbl_anlage[[#This Row],[Nutzungsdauer]],0)</f>
        <v>3823.7177207085438</v>
      </c>
      <c r="M24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611.794835313367</v>
      </c>
      <c r="N24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114.71153162125628</v>
      </c>
      <c r="O24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4041.6696307889301</v>
      </c>
      <c r="P24" s="24">
        <f>MIN(tbl_anlage[[#This Row],[JVW/10]],tbl_anlage[[#This Row],[Jahresleasingkosten]])</f>
        <v>4041.6696307889301</v>
      </c>
    </row>
    <row r="25" spans="1:16" x14ac:dyDescent="0.25">
      <c r="A25" s="70" t="s">
        <v>73</v>
      </c>
      <c r="B25" s="70" t="s">
        <v>25</v>
      </c>
      <c r="C25" s="70">
        <v>2023</v>
      </c>
      <c r="D25" s="71">
        <v>10000</v>
      </c>
      <c r="E25" s="72">
        <f>_xlfn.IFNA(VLOOKUP(DATE(tbl_anlage[[#This Row],[Jahr]],1,1),tbl_basiszins[],2,FALSE),0)</f>
        <v>1.6199999999999999E-2</v>
      </c>
      <c r="F25" s="79">
        <v>10</v>
      </c>
      <c r="G25" s="71"/>
      <c r="H25" s="63">
        <f>80%</f>
        <v>0.8</v>
      </c>
      <c r="I25" s="62">
        <f>MIN((tbl_anlage[[#This Row],[Basiszins]]+'Z - Settings'!$B$1),'Z - Settings'!$B$7)</f>
        <v>0.04</v>
      </c>
      <c r="J25" s="28">
        <f>tbl_anlage[[#This Row],[Anschaffungswert]]*$G$6</f>
        <v>-823.07747029949473</v>
      </c>
      <c r="K25" s="28">
        <f>tbl_anlage[[#This Row],[Anschaffungswert]]+tbl_anlage[[#This Row],[Kürzung wg. Höchstbetrag]]</f>
        <v>9176.922529700505</v>
      </c>
      <c r="L25" s="24">
        <f>IF($D$1-tbl_anlage[[#This Row],[Jahr]]&lt;=tbl_anlage[[#This Row],[Nutzungsdauer]],tbl_anlage[[#This Row],[förderfähig]]/tbl_anlage[[#This Row],[Nutzungsdauer]],0)</f>
        <v>917.6922529700505</v>
      </c>
      <c r="M25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264.29536885537453</v>
      </c>
      <c r="N25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49.555381660382714</v>
      </c>
      <c r="O25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1109.4899338407911</v>
      </c>
      <c r="P25" s="24">
        <f>MIN(tbl_anlage[[#This Row],[JVW/10]],tbl_anlage[[#This Row],[Jahresleasingkosten]])</f>
        <v>1109.4899338407911</v>
      </c>
    </row>
    <row r="26" spans="1:16" x14ac:dyDescent="0.25">
      <c r="A26" s="70" t="s">
        <v>74</v>
      </c>
      <c r="B26" s="70" t="s">
        <v>82</v>
      </c>
      <c r="C26" s="70">
        <v>2023</v>
      </c>
      <c r="D26" s="71">
        <v>9000</v>
      </c>
      <c r="E26" s="72">
        <f>_xlfn.IFNA(VLOOKUP(DATE(tbl_anlage[[#This Row],[Jahr]],1,1),tbl_basiszins[],2,FALSE),0)</f>
        <v>1.6199999999999999E-2</v>
      </c>
      <c r="F26" s="79">
        <v>3</v>
      </c>
      <c r="G26" s="71">
        <v>3000</v>
      </c>
      <c r="H26" s="63">
        <f>80%</f>
        <v>0.8</v>
      </c>
      <c r="I26" s="62">
        <f>MIN((tbl_anlage[[#This Row],[Basiszins]]+'Z - Settings'!$B$1),'Z - Settings'!$B$7)</f>
        <v>0.04</v>
      </c>
      <c r="J26" s="28">
        <f>tbl_anlage[[#This Row],[Anschaffungswert]]*$G$6</f>
        <v>-740.76972326954524</v>
      </c>
      <c r="K26" s="28">
        <f>tbl_anlage[[#This Row],[Anschaffungswert]]+tbl_anlage[[#This Row],[Kürzung wg. Höchstbetrag]]</f>
        <v>8259.2302767304554</v>
      </c>
      <c r="L26" s="24">
        <f>IF($D$1-tbl_anlage[[#This Row],[Jahr]]&lt;=tbl_anlage[[#This Row],[Nutzungsdauer]],tbl_anlage[[#This Row],[förderfähig]]/tbl_anlage[[#This Row],[Nutzungsdauer]],0)</f>
        <v>2753.076758910152</v>
      </c>
      <c r="M26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176.19691257024971</v>
      </c>
      <c r="N26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33.03692110692181</v>
      </c>
      <c r="O26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2596.1513836522731</v>
      </c>
      <c r="P26" s="24">
        <f>MIN(tbl_anlage[[#This Row],[JVW/10]],tbl_anlage[[#This Row],[Jahresleasingkosten]])</f>
        <v>2596.1513836522731</v>
      </c>
    </row>
    <row r="27" spans="1:16" x14ac:dyDescent="0.25">
      <c r="A27" s="70" t="s">
        <v>75</v>
      </c>
      <c r="B27" s="70" t="s">
        <v>82</v>
      </c>
      <c r="C27" s="70">
        <v>2024</v>
      </c>
      <c r="D27" s="71">
        <v>20000</v>
      </c>
      <c r="E27" s="72">
        <f>_xlfn.IFNA(VLOOKUP(DATE(tbl_anlage[[#This Row],[Jahr]],1,1),tbl_basiszins[],2,FALSE),0)</f>
        <v>3.6200000000000003E-2</v>
      </c>
      <c r="F27" s="79">
        <v>4</v>
      </c>
      <c r="G27" s="71">
        <v>4000</v>
      </c>
      <c r="H27" s="63">
        <f>80%</f>
        <v>0.8</v>
      </c>
      <c r="I27" s="62">
        <f>MIN((tbl_anlage[[#This Row],[Basiszins]]+'Z - Settings'!$B$1),'Z - Settings'!$B$7)</f>
        <v>0.04</v>
      </c>
      <c r="J27" s="28">
        <f>tbl_anlage[[#This Row],[Anschaffungswert]]*$G$6</f>
        <v>-1646.1549405989895</v>
      </c>
      <c r="K27" s="28">
        <f>tbl_anlage[[#This Row],[Anschaffungswert]]+tbl_anlage[[#This Row],[Kürzung wg. Höchstbetrag]]</f>
        <v>18353.84505940101</v>
      </c>
      <c r="L27" s="24">
        <f>IF($D$1-tbl_anlage[[#This Row],[Jahr]]&lt;=tbl_anlage[[#This Row],[Nutzungsdauer]],tbl_anlage[[#This Row],[förderfähig]]/tbl_anlage[[#This Row],[Nutzungsdauer]],0)</f>
        <v>4588.4612648502525</v>
      </c>
      <c r="M27" s="28">
        <f>IF(tbl_anlage[[#This Row],[förderfähige Abschreibungen]]=0,0,(tbl_anlage[[#This Row],[förderfähig]]-(($D$1-tbl_anlage[[#This Row],[Jahr]])*tbl_anlage[[#This Row],[förderfähige Abschreibungen]]))*tbl_anlage[[#This Row],[Fremdkapitalanteil]]*tbl_anlage[[#This Row],[Fremdkapital-zinssatz]])</f>
        <v>587.32304190083232</v>
      </c>
      <c r="N27" s="28">
        <f>IF(tbl_anlage[[#This Row],[förderfähige Abschreibungen]]=0,0,(tbl_anlage[[#This Row],[förderfähig]]-(($D$1-tbl_anlage[[#This Row],[Jahr]])*tbl_anlage[[#This Row],[förderfähige Abschreibungen]]))*(1-tbl_anlage[[#This Row],[Fremdkapitalanteil]])*(MIN(tbl_anlage[[#This Row],[Basiszins]]+'Z - Settings'!$B$2,'Z - Settings'!$B$8)))</f>
        <v>110.12307035640603</v>
      </c>
      <c r="O27" s="24">
        <f>IF(tbl_anlage[[#This Row],[förderfähige Abschreibungen]]=0,0,(((tbl_anlage[[#This Row],[förderfähig]]/tbl_anlage[[#This Row],[Nutzungsdauer]])*10)+((10*tbl_anlage[[#This Row],[förderfähig]]-45*(tbl_anlage[[#This Row],[förderfähig]]/tbl_anlage[[#This Row],[Nutzungsdauer]]))*((tbl_anlage[[#This Row],[Fremdkapitalanteil]]*tbl_anlage[[#This Row],[Fremdkapital-zinssatz]])+((1-tbl_anlage[[#This Row],[Fremdkapitalanteil]])*(MIN(tbl_anlage[[#This Row],[Basiszins]]+'Z - Settings'!$B$2,'Z - Settings'!$B$8))))))/10)</f>
        <v>4501.2805008180976</v>
      </c>
      <c r="P27" s="24">
        <f>MIN(tbl_anlage[[#This Row],[JVW/10]],tbl_anlage[[#This Row],[Jahresleasingkosten]])</f>
        <v>4000</v>
      </c>
    </row>
    <row r="28" spans="1:16" x14ac:dyDescent="0.25">
      <c r="A28" t="s">
        <v>24</v>
      </c>
    </row>
    <row r="29" spans="1:16" x14ac:dyDescent="0.25">
      <c r="A29" t="s">
        <v>24</v>
      </c>
    </row>
    <row r="30" spans="1:16" x14ac:dyDescent="0.25">
      <c r="A30" s="14" t="s">
        <v>85</v>
      </c>
      <c r="B30" s="15"/>
      <c r="C30" s="15"/>
      <c r="D30" s="15"/>
    </row>
    <row r="31" spans="1:16" x14ac:dyDescent="0.25">
      <c r="A31" s="69" t="s">
        <v>5</v>
      </c>
      <c r="B31" s="69" t="s">
        <v>86</v>
      </c>
      <c r="C31" s="69" t="s">
        <v>6</v>
      </c>
      <c r="D31" s="69" t="s">
        <v>88</v>
      </c>
    </row>
    <row r="32" spans="1:16" x14ac:dyDescent="0.25">
      <c r="A32" s="80" t="s">
        <v>87</v>
      </c>
      <c r="B32" s="80">
        <v>2020</v>
      </c>
      <c r="C32" s="81">
        <v>5000</v>
      </c>
      <c r="D32" s="28">
        <f>IF(D1-tbl_gutachten[[#This Row],[Jahr Gutachten]]&lt;10,tbl_gutachten[[#This Row],[Anschaffungswert]]/10,0)</f>
        <v>500</v>
      </c>
    </row>
    <row r="33" spans="1:4" x14ac:dyDescent="0.25">
      <c r="A33" s="80"/>
      <c r="B33" s="80"/>
      <c r="C33" s="81"/>
      <c r="D33" s="28">
        <f>IF(D2-tbl_gutachten[[#This Row],[Jahr Gutachten]]&lt;10,tbl_gutachten[[#This Row],[Anschaffungswert]]/10,0)</f>
        <v>0</v>
      </c>
    </row>
  </sheetData>
  <mergeCells count="3">
    <mergeCell ref="A1:C1"/>
    <mergeCell ref="A6:B6"/>
    <mergeCell ref="A8:G8"/>
  </mergeCells>
  <conditionalFormatting sqref="M18:N27 H18:I27">
    <cfRule type="expression" dxfId="14" priority="23">
      <formula>INDIRECT("tbl_anlage[@Investitionsart]")="Miete/Leasing"</formula>
    </cfRule>
  </conditionalFormatting>
  <conditionalFormatting sqref="A12:P13">
    <cfRule type="expression" dxfId="13" priority="18">
      <formula>INDIRECT("tbl_immo[@Investitionsart]")="Leasing"</formula>
    </cfRule>
  </conditionalFormatting>
  <conditionalFormatting sqref="G12:H13">
    <cfRule type="expression" dxfId="12" priority="16">
      <formula>INDIRECT("tbl_immo[@Investitionsart]")="Eigentum"</formula>
    </cfRule>
    <cfRule type="expression" dxfId="11" priority="17">
      <formula>INDIRECT("tbl_immo[@Investitionsart]")="Miete/Leasing"</formula>
    </cfRule>
  </conditionalFormatting>
  <conditionalFormatting sqref="I12:J13 M12:O13">
    <cfRule type="expression" dxfId="10" priority="15">
      <formula>INDIRECT("tbl_immo[@Investitionsart]")="Miete/Leasing"</formula>
    </cfRule>
  </conditionalFormatting>
  <conditionalFormatting sqref="P12:P13">
    <cfRule type="expression" dxfId="9" priority="14">
      <formula>INDIRECT("tbl_immo[@Investitionsart]")="Eigentum"</formula>
    </cfRule>
  </conditionalFormatting>
  <conditionalFormatting sqref="M18:N18">
    <cfRule type="expression" dxfId="8" priority="12">
      <formula>INDIRECT("tbl_immo[@Investitionsart]")="Miete/Leasing"</formula>
    </cfRule>
  </conditionalFormatting>
  <conditionalFormatting sqref="Q12:Q13">
    <cfRule type="expression" dxfId="7" priority="11">
      <formula>INDIRECT("tbl_immo[@Investitionsart]")="Eigentum"</formula>
    </cfRule>
  </conditionalFormatting>
  <conditionalFormatting sqref="O18:P27">
    <cfRule type="expression" dxfId="6" priority="9">
      <formula>INDIRECT("tbl_anlage[@Investitionsart]")="Miete/Leasing"</formula>
    </cfRule>
  </conditionalFormatting>
  <conditionalFormatting sqref="H18:I27">
    <cfRule type="expression" dxfId="5" priority="8">
      <formula>INDIRECT("tbl_anlage[@Investitionsart]")="Eigentum"</formula>
    </cfRule>
  </conditionalFormatting>
  <conditionalFormatting sqref="E18:E27">
    <cfRule type="cellIs" dxfId="4" priority="6" operator="equal">
      <formula>0</formula>
    </cfRule>
  </conditionalFormatting>
  <conditionalFormatting sqref="O18:P27 G18:G27">
    <cfRule type="expression" dxfId="3" priority="10">
      <formula>INDIRECT("tbl_anlage[@Investitionsart]")="Eigentum"</formula>
    </cfRule>
  </conditionalFormatting>
  <conditionalFormatting sqref="E12:E13">
    <cfRule type="cellIs" dxfId="2" priority="5" operator="equal">
      <formula>0</formula>
    </cfRule>
  </conditionalFormatting>
  <conditionalFormatting sqref="A32:C33">
    <cfRule type="expression" dxfId="1" priority="2">
      <formula>INDIRECT("tbl_immo[@Investitionsart]")="Leasing"</formula>
    </cfRule>
  </conditionalFormatting>
  <dataValidations count="3">
    <dataValidation type="list" errorStyle="warning" allowBlank="1" showInputMessage="1" showErrorMessage="1" errorTitle="Bitte auswählen" error="Bei Unklarheit im Zweilel &quot;Investitionen&quot; auswählen." sqref="C6" xr:uid="{9FDBCA98-8CF8-4724-9C77-B87445AB85D3}">
      <formula1>inv_mod</formula1>
    </dataValidation>
    <dataValidation type="list" allowBlank="1" showInputMessage="1" showErrorMessage="1" sqref="B12:B13 B18:B27" xr:uid="{FAB7A204-883F-4C29-BFC4-FDC120034A40}">
      <formula1>inv_art</formula1>
    </dataValidation>
    <dataValidation errorStyle="warning" operator="lessThan" allowBlank="1" showInputMessage="1" showErrorMessage="1" errorTitle="Zinssatz über Zinsgrenze!" error="Der maximale Zinssatz für Fremdkapital ist begrenzt!" sqref="J12:J13" xr:uid="{49859786-676C-4577-A326-E3B0147E3BCB}"/>
  </dataValidations>
  <pageMargins left="0.7" right="0.7" top="0.78740157499999996" bottom="0.78740157499999996" header="0.3" footer="0.3"/>
  <pageSetup paperSize="9" scale="46" orientation="landscape" horizontalDpi="1200" verticalDpi="1200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BE71-F95E-4397-92B8-F069CDD9D3D4}">
  <sheetPr>
    <pageSetUpPr fitToPage="1"/>
  </sheetPr>
  <dimension ref="A1:L37"/>
  <sheetViews>
    <sheetView zoomScaleNormal="100" workbookViewId="0">
      <selection activeCell="B4" sqref="B4:C4"/>
    </sheetView>
  </sheetViews>
  <sheetFormatPr baseColWidth="10" defaultRowHeight="15" x14ac:dyDescent="0.25"/>
  <cols>
    <col min="1" max="1" width="27" bestFit="1" customWidth="1"/>
    <col min="2" max="2" width="11.42578125" customWidth="1"/>
    <col min="3" max="3" width="12.28515625" customWidth="1"/>
    <col min="4" max="4" width="14.5703125" bestFit="1" customWidth="1"/>
    <col min="5" max="5" width="16" style="4" customWidth="1"/>
    <col min="8" max="8" width="12" bestFit="1" customWidth="1"/>
  </cols>
  <sheetData>
    <row r="1" spans="1:11" s="5" customFormat="1" ht="18.75" x14ac:dyDescent="0.3">
      <c r="A1" s="105" t="str">
        <f>'A - Stammdaten'!B7</f>
        <v>Haus zur Sonne</v>
      </c>
      <c r="B1" s="105"/>
      <c r="C1" s="105"/>
      <c r="D1" s="16">
        <f>'A - Stammdaten'!B15</f>
        <v>2024</v>
      </c>
      <c r="E1" s="17"/>
      <c r="F1" s="57"/>
      <c r="G1" s="57"/>
      <c r="H1" s="57"/>
      <c r="I1" s="57"/>
      <c r="J1" s="57"/>
      <c r="K1" s="57"/>
    </row>
    <row r="2" spans="1:11" ht="18.75" x14ac:dyDescent="0.3">
      <c r="A2" s="17" t="s">
        <v>23</v>
      </c>
      <c r="B2" s="17"/>
      <c r="C2" s="17"/>
      <c r="D2" s="17"/>
      <c r="E2" s="17"/>
      <c r="F2" s="57"/>
      <c r="G2" s="57"/>
    </row>
    <row r="4" spans="1:11" x14ac:dyDescent="0.25">
      <c r="A4" s="5" t="s">
        <v>112</v>
      </c>
      <c r="B4" s="112" t="s">
        <v>113</v>
      </c>
      <c r="C4" s="112"/>
    </row>
    <row r="6" spans="1:11" ht="15.75" thickBot="1" x14ac:dyDescent="0.3">
      <c r="A6" s="36" t="s">
        <v>92</v>
      </c>
      <c r="B6" s="37"/>
      <c r="C6" s="37"/>
      <c r="D6" s="37"/>
      <c r="E6" s="38"/>
      <c r="J6" s="13"/>
      <c r="K6" s="13"/>
    </row>
    <row r="7" spans="1:11" x14ac:dyDescent="0.25">
      <c r="A7" s="45" t="s">
        <v>31</v>
      </c>
      <c r="B7" s="110" t="s">
        <v>38</v>
      </c>
      <c r="C7" s="110"/>
      <c r="D7" s="110"/>
      <c r="E7" s="40">
        <f>SUMIF(tbl_immo[Investitionsart],"Eigentum",tbl_immo[förderfähige Zinsen FK])</f>
        <v>35973.536316425983</v>
      </c>
      <c r="F7" s="35"/>
      <c r="G7" s="35"/>
    </row>
    <row r="8" spans="1:11" x14ac:dyDescent="0.25">
      <c r="A8" s="2"/>
      <c r="B8" s="109" t="s">
        <v>32</v>
      </c>
      <c r="C8" s="109"/>
      <c r="D8" s="109"/>
      <c r="E8" s="41">
        <f>SUMIF(tbl_anlage[Investitionsart],"Eigentum",tbl_anlage[förderfähige Zinsen FK])</f>
        <v>4618.1817685139076</v>
      </c>
      <c r="F8" s="25"/>
      <c r="G8" s="25"/>
    </row>
    <row r="9" spans="1:11" x14ac:dyDescent="0.25">
      <c r="A9" s="26"/>
      <c r="B9" s="26"/>
      <c r="C9" s="26"/>
      <c r="D9" s="26"/>
      <c r="E9" s="27"/>
    </row>
    <row r="10" spans="1:11" x14ac:dyDescent="0.25">
      <c r="A10" s="46" t="s">
        <v>51</v>
      </c>
      <c r="B10" s="111" t="s">
        <v>38</v>
      </c>
      <c r="C10" s="111"/>
      <c r="D10" s="111"/>
      <c r="E10" s="43">
        <f>SUMIF(tbl_immo[Investitionsart],"Eigentum",tbl_immo[förderfähige Zinsen EK])</f>
        <v>6745.0380593298696</v>
      </c>
    </row>
    <row r="11" spans="1:11" x14ac:dyDescent="0.25">
      <c r="B11" s="111" t="s">
        <v>32</v>
      </c>
      <c r="C11" s="111"/>
      <c r="D11" s="111"/>
      <c r="E11" s="30">
        <f>SUMIF(tbl_anlage[Investitionsart],"Eigentum",tbl_anlage[förderfähige Zinsen EK])</f>
        <v>847.69362452870439</v>
      </c>
    </row>
    <row r="12" spans="1:11" x14ac:dyDescent="0.25">
      <c r="A12" s="47"/>
      <c r="B12" s="47"/>
      <c r="C12" s="47"/>
      <c r="D12" s="47"/>
      <c r="E12" s="48"/>
    </row>
    <row r="13" spans="1:11" x14ac:dyDescent="0.25">
      <c r="A13" s="46" t="s">
        <v>41</v>
      </c>
      <c r="B13" s="111" t="s">
        <v>38</v>
      </c>
      <c r="C13" s="111"/>
      <c r="D13" s="111"/>
      <c r="E13" s="43">
        <f>SUMIF(tbl_immo[Investitionsart],"Eigentum",tbl_immo[förderfähige Abschreibungen])</f>
        <v>22942.306324251262</v>
      </c>
    </row>
    <row r="14" spans="1:11" x14ac:dyDescent="0.25">
      <c r="B14" s="111" t="s">
        <v>32</v>
      </c>
      <c r="C14" s="111"/>
      <c r="D14" s="111"/>
      <c r="E14" s="30">
        <f>SUMIF(tbl_anlage[Investitionsart],"Eigentum",tbl_anlage[förderfähige Abschreibungen])</f>
        <v>28442.341893718432</v>
      </c>
    </row>
    <row r="15" spans="1:11" x14ac:dyDescent="0.25">
      <c r="A15" s="47"/>
      <c r="B15" s="47"/>
      <c r="C15" s="47"/>
      <c r="D15" s="47"/>
      <c r="E15" s="48"/>
    </row>
    <row r="16" spans="1:11" x14ac:dyDescent="0.25">
      <c r="A16" s="46" t="s">
        <v>42</v>
      </c>
      <c r="B16" s="111" t="s">
        <v>38</v>
      </c>
      <c r="C16" s="111"/>
      <c r="D16" s="111"/>
      <c r="E16" s="43">
        <f>SUMIF(tbl_immo[Investitionsart],"Miete/Leasing",tbl_immo[förderfähige Miete])</f>
        <v>1887.7358611367999</v>
      </c>
      <c r="H16" s="13"/>
      <c r="I16" s="13"/>
    </row>
    <row r="17" spans="1:12" x14ac:dyDescent="0.25">
      <c r="B17" s="111" t="s">
        <v>32</v>
      </c>
      <c r="C17" s="111"/>
      <c r="D17" s="111"/>
      <c r="E17" s="30">
        <f>SUMIF(tbl_anlage[Investitionsart],"Miete/Leasing",tbl_anlage[förderfähiges Leasing])</f>
        <v>6596.1513836522736</v>
      </c>
    </row>
    <row r="18" spans="1:12" x14ac:dyDescent="0.25">
      <c r="B18" s="109" t="s">
        <v>89</v>
      </c>
      <c r="C18" s="109"/>
      <c r="D18" s="109"/>
      <c r="E18" s="30">
        <f>SUM(tbl_gutachten[Anzurechnen])</f>
        <v>500</v>
      </c>
    </row>
    <row r="19" spans="1:12" x14ac:dyDescent="0.25">
      <c r="A19" s="47"/>
      <c r="B19" s="47"/>
      <c r="C19" s="47"/>
      <c r="D19" s="47"/>
      <c r="E19" s="48"/>
    </row>
    <row r="20" spans="1:12" x14ac:dyDescent="0.25">
      <c r="A20" s="46" t="s">
        <v>43</v>
      </c>
      <c r="B20" s="42" t="s">
        <v>44</v>
      </c>
      <c r="C20" s="42"/>
      <c r="D20" s="100">
        <f>IF('A - Stammdaten'!$B$10="Tagespflege",IF('B - AfA-Berechnung'!$C$6="Investitionen",0.007*'Z - Settings'!$B$3,'Z - Settings'!$B$5*0.007),IF('B - AfA-Berechnung'!$C$6="Investitionen",0.007*'Z - Settings'!$B$4,'Z - Settings'!$B$6*0.007))</f>
        <v>331.1</v>
      </c>
      <c r="E20" s="43"/>
    </row>
    <row r="21" spans="1:12" x14ac:dyDescent="0.25">
      <c r="B21" s="42" t="s">
        <v>45</v>
      </c>
      <c r="C21" s="42"/>
      <c r="D21" s="44">
        <f>'A - Stammdaten'!$B$11</f>
        <v>30</v>
      </c>
    </row>
    <row r="22" spans="1:12" x14ac:dyDescent="0.25">
      <c r="B22" s="42" t="s">
        <v>43</v>
      </c>
      <c r="C22" s="42"/>
      <c r="D22" s="42"/>
      <c r="E22" s="43">
        <f>D20*D21</f>
        <v>9933</v>
      </c>
    </row>
    <row r="23" spans="1:12" x14ac:dyDescent="0.25">
      <c r="A23" s="42"/>
      <c r="B23" s="42"/>
      <c r="C23" s="42"/>
      <c r="D23" s="42"/>
      <c r="E23" s="43"/>
    </row>
    <row r="24" spans="1:12" ht="15.75" thickBot="1" x14ac:dyDescent="0.3">
      <c r="A24" s="36" t="s">
        <v>93</v>
      </c>
      <c r="B24" s="36"/>
      <c r="C24" s="36"/>
      <c r="D24" s="36"/>
      <c r="E24" s="39"/>
    </row>
    <row r="25" spans="1:12" s="33" customFormat="1" x14ac:dyDescent="0.25">
      <c r="A25" s="31"/>
      <c r="B25" s="31"/>
      <c r="C25" s="31"/>
      <c r="D25" s="31"/>
      <c r="E25" s="32"/>
      <c r="F25" s="31"/>
      <c r="G25" s="31"/>
      <c r="H25" s="31"/>
      <c r="I25" s="31"/>
      <c r="J25"/>
      <c r="K25"/>
      <c r="L25"/>
    </row>
    <row r="26" spans="1:12" x14ac:dyDescent="0.25">
      <c r="A26" s="1" t="s">
        <v>49</v>
      </c>
      <c r="B26" s="1"/>
      <c r="C26" s="1"/>
      <c r="D26" s="1"/>
      <c r="E26" s="49">
        <f>SUM(E7:E22)</f>
        <v>118485.98523155724</v>
      </c>
    </row>
    <row r="27" spans="1:12" x14ac:dyDescent="0.25">
      <c r="A27" s="26"/>
      <c r="B27" s="26"/>
      <c r="C27" s="26"/>
      <c r="D27" s="26"/>
      <c r="E27" s="27"/>
    </row>
    <row r="28" spans="1:12" x14ac:dyDescent="0.25">
      <c r="A28" s="1" t="s">
        <v>50</v>
      </c>
      <c r="B28" s="1"/>
      <c r="C28" s="1"/>
      <c r="D28" s="1"/>
      <c r="E28" s="50">
        <f>'A - Stammdaten'!B11</f>
        <v>30</v>
      </c>
    </row>
    <row r="29" spans="1:12" x14ac:dyDescent="0.25">
      <c r="A29" s="26"/>
      <c r="B29" s="26"/>
      <c r="C29" s="26"/>
      <c r="D29" s="26"/>
      <c r="E29" s="27"/>
    </row>
    <row r="30" spans="1:12" x14ac:dyDescent="0.25">
      <c r="A30" s="1" t="s">
        <v>84</v>
      </c>
      <c r="B30" s="1"/>
      <c r="C30" s="1"/>
      <c r="D30" s="1"/>
      <c r="E30" s="51">
        <f>'A - Stammdaten'!B13</f>
        <v>0.9</v>
      </c>
    </row>
    <row r="31" spans="1:12" x14ac:dyDescent="0.25">
      <c r="A31" s="26"/>
      <c r="B31" s="26"/>
      <c r="C31" s="26"/>
      <c r="D31" s="26"/>
      <c r="E31" s="27"/>
    </row>
    <row r="32" spans="1:12" x14ac:dyDescent="0.25">
      <c r="A32" s="1" t="s">
        <v>83</v>
      </c>
      <c r="B32" s="1"/>
      <c r="C32" s="1"/>
      <c r="D32" s="1"/>
      <c r="E32" s="50">
        <f>'A - Stammdaten'!B12</f>
        <v>257</v>
      </c>
    </row>
    <row r="33" spans="1:7" ht="15.75" thickBot="1" x14ac:dyDescent="0.3">
      <c r="A33" s="26"/>
      <c r="B33" s="26"/>
      <c r="C33" s="26"/>
      <c r="D33" s="26"/>
      <c r="E33" s="27"/>
    </row>
    <row r="34" spans="1:7" ht="15.75" thickBot="1" x14ac:dyDescent="0.3">
      <c r="A34" s="52" t="s">
        <v>52</v>
      </c>
      <c r="B34" s="52"/>
      <c r="C34" s="52"/>
      <c r="D34" s="52"/>
      <c r="E34" s="53">
        <f>E26/E28/(E32*E30)</f>
        <v>17.075368962610927</v>
      </c>
      <c r="G34" s="13"/>
    </row>
    <row r="35" spans="1:7" x14ac:dyDescent="0.25">
      <c r="E35" s="101"/>
    </row>
    <row r="36" spans="1:7" x14ac:dyDescent="0.25">
      <c r="A36" s="102" t="s">
        <v>116</v>
      </c>
      <c r="B36" s="103"/>
      <c r="C36" s="103"/>
      <c r="D36" s="103"/>
      <c r="E36" s="104"/>
    </row>
    <row r="37" spans="1:7" x14ac:dyDescent="0.25">
      <c r="A37" s="102" t="s">
        <v>117</v>
      </c>
      <c r="B37" s="103"/>
      <c r="C37" s="103"/>
      <c r="D37" s="103"/>
      <c r="E37" s="104"/>
    </row>
  </sheetData>
  <mergeCells count="11">
    <mergeCell ref="B18:D18"/>
    <mergeCell ref="A1:C1"/>
    <mergeCell ref="B7:D7"/>
    <mergeCell ref="B8:D8"/>
    <mergeCell ref="B17:D17"/>
    <mergeCell ref="B10:D10"/>
    <mergeCell ref="B11:D11"/>
    <mergeCell ref="B13:D13"/>
    <mergeCell ref="B14:D14"/>
    <mergeCell ref="B16:D16"/>
    <mergeCell ref="B4:C4"/>
  </mergeCells>
  <conditionalFormatting sqref="A36:E37 E34:E35">
    <cfRule type="expression" dxfId="0" priority="1">
      <formula>$B$4="gesonderte Berechnung"</formula>
    </cfRule>
  </conditionalFormatting>
  <pageMargins left="0.7" right="0.7" top="0.78740157499999996" bottom="0.78740157499999996" header="0.3" footer="0.3"/>
  <pageSetup paperSize="9" scale="83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45E85E-E5F4-42F9-B298-6F5A035C5376}">
          <x14:formula1>
            <xm:f>'Z - Settings'!$G$5:$G$6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9C96-541D-4135-90FC-6AAC7ABDE283}">
  <dimension ref="A1:I24"/>
  <sheetViews>
    <sheetView workbookViewId="0">
      <selection activeCell="C8" sqref="C8"/>
    </sheetView>
  </sheetViews>
  <sheetFormatPr baseColWidth="10" defaultRowHeight="15" x14ac:dyDescent="0.25"/>
  <cols>
    <col min="1" max="1" width="15.7109375" customWidth="1"/>
    <col min="2" max="2" width="17.85546875" customWidth="1"/>
    <col min="3" max="3" width="82.5703125" customWidth="1"/>
    <col min="4" max="4" width="11.42578125" customWidth="1"/>
  </cols>
  <sheetData>
    <row r="1" spans="1:9" s="5" customFormat="1" ht="18.75" x14ac:dyDescent="0.3">
      <c r="A1" s="106" t="s">
        <v>96</v>
      </c>
      <c r="B1" s="106"/>
      <c r="C1" s="106"/>
      <c r="D1" s="57"/>
      <c r="E1" s="57"/>
      <c r="F1" s="57"/>
      <c r="G1" s="57"/>
      <c r="H1" s="57"/>
      <c r="I1" s="57"/>
    </row>
    <row r="2" spans="1:9" s="5" customFormat="1" ht="18.75" x14ac:dyDescent="0.3">
      <c r="A2" s="17" t="s">
        <v>97</v>
      </c>
      <c r="B2" s="90"/>
      <c r="C2" s="90"/>
      <c r="D2" s="57"/>
      <c r="E2" s="57"/>
      <c r="F2" s="57"/>
      <c r="G2" s="57"/>
      <c r="H2" s="57"/>
      <c r="I2" s="57"/>
    </row>
    <row r="3" spans="1:9" x14ac:dyDescent="0.25">
      <c r="A3" t="s">
        <v>99</v>
      </c>
      <c r="B3" s="91" t="s">
        <v>111</v>
      </c>
      <c r="C3" s="92">
        <v>45541</v>
      </c>
    </row>
    <row r="4" spans="1:9" ht="30" customHeight="1" x14ac:dyDescent="0.25">
      <c r="A4" s="113" t="s">
        <v>98</v>
      </c>
      <c r="B4" s="113"/>
      <c r="C4" s="113"/>
    </row>
    <row r="6" spans="1:9" x14ac:dyDescent="0.25">
      <c r="A6" s="5" t="s">
        <v>101</v>
      </c>
    </row>
    <row r="7" spans="1:9" x14ac:dyDescent="0.25">
      <c r="A7" s="2" t="s">
        <v>99</v>
      </c>
      <c r="B7" s="2" t="s">
        <v>78</v>
      </c>
      <c r="C7" s="2" t="s">
        <v>102</v>
      </c>
    </row>
    <row r="8" spans="1:9" ht="75" x14ac:dyDescent="0.25">
      <c r="A8" s="93" t="s">
        <v>111</v>
      </c>
      <c r="B8" s="94">
        <v>45541</v>
      </c>
      <c r="C8" s="95" t="s">
        <v>115</v>
      </c>
    </row>
    <row r="9" spans="1:9" ht="30" x14ac:dyDescent="0.25">
      <c r="A9" s="93" t="s">
        <v>109</v>
      </c>
      <c r="B9" s="94">
        <v>45482</v>
      </c>
      <c r="C9" s="95" t="s">
        <v>108</v>
      </c>
    </row>
    <row r="10" spans="1:9" ht="60" x14ac:dyDescent="0.25">
      <c r="A10" s="93" t="s">
        <v>100</v>
      </c>
      <c r="B10" s="94">
        <v>45463</v>
      </c>
      <c r="C10" s="95" t="s">
        <v>105</v>
      </c>
    </row>
    <row r="11" spans="1:9" x14ac:dyDescent="0.25">
      <c r="A11" s="96" t="s">
        <v>103</v>
      </c>
      <c r="B11" s="97">
        <v>45461</v>
      </c>
      <c r="C11" s="99" t="s">
        <v>104</v>
      </c>
    </row>
    <row r="12" spans="1:9" x14ac:dyDescent="0.25">
      <c r="A12" s="91"/>
    </row>
    <row r="13" spans="1:9" x14ac:dyDescent="0.25">
      <c r="A13" s="91"/>
    </row>
    <row r="14" spans="1:9" x14ac:dyDescent="0.25">
      <c r="A14" s="91"/>
    </row>
    <row r="15" spans="1:9" x14ac:dyDescent="0.25">
      <c r="A15" s="91"/>
    </row>
    <row r="16" spans="1:9" x14ac:dyDescent="0.25">
      <c r="A16" s="91"/>
    </row>
    <row r="17" spans="1:1" x14ac:dyDescent="0.25">
      <c r="A17" s="91"/>
    </row>
    <row r="18" spans="1:1" x14ac:dyDescent="0.25">
      <c r="A18" s="91"/>
    </row>
    <row r="19" spans="1:1" x14ac:dyDescent="0.25">
      <c r="A19" s="91"/>
    </row>
    <row r="20" spans="1:1" x14ac:dyDescent="0.25">
      <c r="A20" s="91"/>
    </row>
    <row r="21" spans="1:1" x14ac:dyDescent="0.25">
      <c r="A21" s="91"/>
    </row>
    <row r="22" spans="1:1" x14ac:dyDescent="0.25">
      <c r="A22" s="91"/>
    </row>
    <row r="23" spans="1:1" x14ac:dyDescent="0.25">
      <c r="A23" s="91"/>
    </row>
    <row r="24" spans="1:1" x14ac:dyDescent="0.25">
      <c r="A24" s="91"/>
    </row>
  </sheetData>
  <mergeCells count="2">
    <mergeCell ref="A1:C1"/>
    <mergeCell ref="A4:C4"/>
  </mergeCells>
  <pageMargins left="0.7" right="0.7" top="0.78740157499999996" bottom="0.78740157499999996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8B2C-864F-4493-8DC5-74FCEE007DB8}">
  <dimension ref="A1:J26"/>
  <sheetViews>
    <sheetView workbookViewId="0">
      <selection activeCell="K7" sqref="K7"/>
    </sheetView>
  </sheetViews>
  <sheetFormatPr baseColWidth="10" defaultRowHeight="15" x14ac:dyDescent="0.25"/>
  <cols>
    <col min="1" max="1" width="34.5703125" bestFit="1" customWidth="1"/>
    <col min="2" max="2" width="13" bestFit="1" customWidth="1"/>
    <col min="7" max="7" width="13.85546875" bestFit="1" customWidth="1"/>
    <col min="9" max="10" width="12.42578125" bestFit="1" customWidth="1"/>
  </cols>
  <sheetData>
    <row r="1" spans="1:10" x14ac:dyDescent="0.25">
      <c r="A1" s="54" t="s">
        <v>7</v>
      </c>
      <c r="B1" s="18">
        <v>2.5000000000000001E-2</v>
      </c>
      <c r="C1" s="54"/>
      <c r="D1" s="54" t="s">
        <v>14</v>
      </c>
      <c r="E1" s="54"/>
      <c r="F1" s="54"/>
      <c r="G1" s="54" t="s">
        <v>47</v>
      </c>
      <c r="I1" s="64" t="s">
        <v>76</v>
      </c>
      <c r="J1" s="65"/>
    </row>
    <row r="2" spans="1:10" x14ac:dyDescent="0.25">
      <c r="A2" s="54" t="s">
        <v>8</v>
      </c>
      <c r="B2" s="18">
        <v>1.4999999999999999E-2</v>
      </c>
      <c r="C2" s="54"/>
      <c r="D2" s="54" t="s">
        <v>22</v>
      </c>
      <c r="E2" s="54"/>
      <c r="F2" s="54"/>
      <c r="G2" s="54" t="s">
        <v>48</v>
      </c>
      <c r="I2" s="65"/>
      <c r="J2" s="65"/>
    </row>
    <row r="3" spans="1:10" x14ac:dyDescent="0.25">
      <c r="A3" s="54" t="s">
        <v>9</v>
      </c>
      <c r="B3" s="24">
        <v>47300</v>
      </c>
      <c r="C3" s="54"/>
      <c r="D3" s="54"/>
      <c r="E3" s="54"/>
      <c r="F3" s="54"/>
      <c r="G3" s="54"/>
      <c r="I3" s="65" t="s">
        <v>78</v>
      </c>
      <c r="J3" s="65" t="s">
        <v>77</v>
      </c>
    </row>
    <row r="4" spans="1:10" ht="17.25" x14ac:dyDescent="0.25">
      <c r="A4" s="54" t="s">
        <v>10</v>
      </c>
      <c r="B4" s="24">
        <v>118300</v>
      </c>
      <c r="C4" s="54"/>
      <c r="D4" s="54"/>
      <c r="E4" s="54"/>
      <c r="F4" s="54"/>
      <c r="G4" s="54"/>
      <c r="I4" s="67">
        <v>45658</v>
      </c>
      <c r="J4" s="66">
        <v>2.2700000000000001E-2</v>
      </c>
    </row>
    <row r="5" spans="1:10" ht="17.25" x14ac:dyDescent="0.25">
      <c r="A5" s="54" t="s">
        <v>11</v>
      </c>
      <c r="B5" s="24">
        <v>31600</v>
      </c>
      <c r="C5" s="54"/>
      <c r="D5" s="54" t="s">
        <v>25</v>
      </c>
      <c r="E5" s="54"/>
      <c r="F5" s="54"/>
      <c r="G5" s="54" t="s">
        <v>113</v>
      </c>
      <c r="I5" s="67">
        <v>45292</v>
      </c>
      <c r="J5" s="66">
        <v>3.6200000000000003E-2</v>
      </c>
    </row>
    <row r="6" spans="1:10" ht="17.25" x14ac:dyDescent="0.25">
      <c r="A6" s="54" t="s">
        <v>12</v>
      </c>
      <c r="B6" s="24">
        <v>94700</v>
      </c>
      <c r="C6" s="54"/>
      <c r="D6" s="54" t="s">
        <v>82</v>
      </c>
      <c r="E6" s="54"/>
      <c r="F6" s="54"/>
      <c r="G6" s="54" t="s">
        <v>114</v>
      </c>
      <c r="I6" s="67">
        <v>44927</v>
      </c>
      <c r="J6" s="66">
        <v>1.6199999999999999E-2</v>
      </c>
    </row>
    <row r="7" spans="1:10" ht="17.25" x14ac:dyDescent="0.25">
      <c r="A7" s="54" t="s">
        <v>53</v>
      </c>
      <c r="B7" s="23">
        <v>0.04</v>
      </c>
      <c r="C7" s="54"/>
      <c r="D7" s="54"/>
      <c r="E7" s="54"/>
      <c r="F7" s="54"/>
      <c r="G7" s="54"/>
      <c r="I7" s="67">
        <v>44562</v>
      </c>
      <c r="J7" s="66">
        <v>-8.8000000000000005E-3</v>
      </c>
    </row>
    <row r="8" spans="1:10" ht="17.25" x14ac:dyDescent="0.25">
      <c r="A8" s="54" t="s">
        <v>54</v>
      </c>
      <c r="B8" s="23">
        <v>0.03</v>
      </c>
      <c r="C8" s="54"/>
      <c r="D8" s="54"/>
      <c r="E8" s="54"/>
      <c r="F8" s="54"/>
      <c r="G8" s="54"/>
      <c r="I8" s="67">
        <v>44197</v>
      </c>
      <c r="J8" s="66">
        <v>-8.8000000000000005E-3</v>
      </c>
    </row>
    <row r="9" spans="1:10" ht="17.25" x14ac:dyDescent="0.25">
      <c r="I9" s="67">
        <v>43831</v>
      </c>
      <c r="J9" s="66">
        <v>-8.8000000000000005E-3</v>
      </c>
    </row>
    <row r="10" spans="1:10" ht="18.75" x14ac:dyDescent="0.3">
      <c r="A10" s="61" t="s">
        <v>57</v>
      </c>
      <c r="I10" s="67">
        <v>43466</v>
      </c>
      <c r="J10" s="66">
        <v>-8.8000000000000005E-3</v>
      </c>
    </row>
    <row r="11" spans="1:10" ht="17.25" x14ac:dyDescent="0.25">
      <c r="I11" s="67">
        <v>43101</v>
      </c>
      <c r="J11" s="66">
        <v>-8.8000000000000005E-3</v>
      </c>
    </row>
    <row r="12" spans="1:10" ht="17.25" x14ac:dyDescent="0.25">
      <c r="I12" s="67">
        <v>42736</v>
      </c>
      <c r="J12" s="66">
        <v>-8.8000000000000005E-3</v>
      </c>
    </row>
    <row r="13" spans="1:10" ht="17.25" x14ac:dyDescent="0.25">
      <c r="I13" s="67">
        <v>42370</v>
      </c>
      <c r="J13" s="66">
        <v>-8.3000000000000001E-3</v>
      </c>
    </row>
    <row r="14" spans="1:10" ht="17.25" x14ac:dyDescent="0.25">
      <c r="I14" s="67">
        <v>42005</v>
      </c>
      <c r="J14" s="66">
        <v>-8.3000000000000001E-3</v>
      </c>
    </row>
    <row r="15" spans="1:10" ht="17.25" x14ac:dyDescent="0.25">
      <c r="I15" s="67">
        <v>41640</v>
      </c>
      <c r="J15" s="66">
        <v>-6.3E-3</v>
      </c>
    </row>
    <row r="16" spans="1:10" ht="17.25" x14ac:dyDescent="0.25">
      <c r="I16" s="67">
        <v>41275</v>
      </c>
      <c r="J16" s="66">
        <v>-1.2999999999999999E-3</v>
      </c>
    </row>
    <row r="17" spans="9:10" ht="17.25" x14ac:dyDescent="0.25">
      <c r="I17" s="67">
        <v>40909</v>
      </c>
      <c r="J17" s="66">
        <v>1.1999999999999999E-3</v>
      </c>
    </row>
    <row r="18" spans="9:10" ht="17.25" x14ac:dyDescent="0.25">
      <c r="I18" s="67">
        <v>40544</v>
      </c>
      <c r="J18" s="66">
        <v>1.1999999999999999E-3</v>
      </c>
    </row>
    <row r="19" spans="9:10" ht="17.25" x14ac:dyDescent="0.25">
      <c r="I19" s="67">
        <v>40179</v>
      </c>
      <c r="J19" s="66">
        <v>1.1999999999999999E-3</v>
      </c>
    </row>
    <row r="20" spans="9:10" ht="17.25" x14ac:dyDescent="0.25">
      <c r="I20" s="67">
        <v>39814</v>
      </c>
      <c r="J20" s="66">
        <v>1.6199999999999999E-2</v>
      </c>
    </row>
    <row r="21" spans="9:10" ht="17.25" x14ac:dyDescent="0.25">
      <c r="I21" s="67">
        <v>39448</v>
      </c>
      <c r="J21" s="66">
        <v>3.32E-2</v>
      </c>
    </row>
    <row r="22" spans="9:10" ht="17.25" x14ac:dyDescent="0.25">
      <c r="I22" s="67">
        <v>39083</v>
      </c>
      <c r="J22" s="66">
        <v>2.7E-2</v>
      </c>
    </row>
    <row r="23" spans="9:10" ht="17.25" x14ac:dyDescent="0.25">
      <c r="I23" s="67">
        <v>38718</v>
      </c>
      <c r="J23" s="66">
        <v>1.37E-2</v>
      </c>
    </row>
    <row r="24" spans="9:10" ht="17.25" x14ac:dyDescent="0.25">
      <c r="I24" s="67">
        <v>38353</v>
      </c>
      <c r="J24" s="66">
        <v>1.21E-2</v>
      </c>
    </row>
    <row r="25" spans="9:10" ht="17.25" x14ac:dyDescent="0.25">
      <c r="I25" s="67">
        <v>37987</v>
      </c>
      <c r="J25" s="66">
        <v>1.14E-2</v>
      </c>
    </row>
    <row r="26" spans="9:10" ht="17.25" x14ac:dyDescent="0.25">
      <c r="I26" s="67">
        <v>37622</v>
      </c>
      <c r="J26" s="66">
        <v>1.9699999999999999E-2</v>
      </c>
    </row>
  </sheetData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 - Stammdaten</vt:lpstr>
      <vt:lpstr>B - AfA-Berechnung</vt:lpstr>
      <vt:lpstr>C - Berechnung Tagessatz</vt:lpstr>
      <vt:lpstr>X - Changelog</vt:lpstr>
      <vt:lpstr>Z - Settings</vt:lpstr>
      <vt:lpstr>einr_art</vt:lpstr>
      <vt:lpstr>immo_Anlagegut</vt:lpstr>
      <vt:lpstr>inv_art</vt:lpstr>
      <vt:lpstr>inv_mod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Ley, Christoph (MS)</dc:creator>
  <cp:lastModifiedBy>Schierloh, Tim (MS)</cp:lastModifiedBy>
  <cp:lastPrinted>2024-02-12T07:48:23Z</cp:lastPrinted>
  <dcterms:created xsi:type="dcterms:W3CDTF">2024-01-31T08:27:15Z</dcterms:created>
  <dcterms:modified xsi:type="dcterms:W3CDTF">2025-03-13T08:10:51Z</dcterms:modified>
</cp:coreProperties>
</file>